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iomint.sharepoint.com/teams/BorFloodRiskMitigationProject/Shared Documents/27. Procurment/02 PRF Package/Lot 1 - Culverts X6/"/>
    </mc:Choice>
  </mc:AlternateContent>
  <xr:revisionPtr revIDLastSave="18" documentId="13_ncr:1_{F61A570E-409C-43BC-9627-16A92A3B5360}" xr6:coauthVersionLast="47" xr6:coauthVersionMax="47" xr10:uidLastSave="{50475A03-7213-4A53-9BFE-9C10290BC5A0}"/>
  <bookViews>
    <workbookView xWindow="28680" yWindow="-120" windowWidth="29040" windowHeight="15840" xr2:uid="{1FB3E3C2-5967-4254-A6E6-540DEE1F98E1}"/>
  </bookViews>
  <sheets>
    <sheet name="BoQ" sheetId="8" r:id="rId1"/>
    <sheet name="Locations" sheetId="1" r:id="rId2"/>
    <sheet name="Scope of work " sheetId="3" r:id="rId3"/>
    <sheet name="Technical Specification" sheetId="7" r:id="rId4"/>
    <sheet name="Large Culvert" sheetId="5" r:id="rId5"/>
    <sheet name="Flap Gates" sheetId="4" r:id="rId6"/>
    <sheet name="Drainage" sheetId="6"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s>
  <definedNames>
    <definedName name="____pa2">'[1]Budget 3'!$A$4:$G$40</definedName>
    <definedName name="___pa2">'[1]Budget 3'!$A$4:$G$40</definedName>
    <definedName name="__pa2">'[1]Budget 3'!$A$4:$G$40</definedName>
    <definedName name="_BQ4.2" localSheetId="3" hidden="1">#REF!</definedName>
    <definedName name="_BQ4.2" hidden="1">#REF!</definedName>
    <definedName name="_Key1">#REF!</definedName>
    <definedName name="_pa2">'[1]Budget 3'!$A$4:$G$40</definedName>
    <definedName name="_pa3">#REF!</definedName>
    <definedName name="_pa4">#REF!</definedName>
    <definedName name="_Sort">#REF!</definedName>
    <definedName name="AB" comment="Linie budżetowe">[2]Description!$E$5:$E$600</definedName>
    <definedName name="account_code">#REF!</definedName>
    <definedName name="account_description">#REF!</definedName>
    <definedName name="ag">[3]Variables!$F$20</definedName>
    <definedName name="AI">[4]Description!$E$5:$E$604</definedName>
    <definedName name="amendment">#REF!</definedName>
    <definedName name="ANWash2">[5]Data!#REF!</definedName>
    <definedName name="As">'[6]ULS Capacity'!$K$26</definedName>
    <definedName name="b">#REF!:OFFSET(#REF!,COUNTA(#REF!)-2,0)</definedName>
    <definedName name="Band1">[7]Bands!$E$7</definedName>
    <definedName name="Band2">[7]Bands!$E$8</definedName>
    <definedName name="Band3">[7]Bands!$E$9</definedName>
    <definedName name="Band4">[7]Bands!$E$10</definedName>
    <definedName name="BK">OFFSET([4]Description!$S$5:$S$30,0,0,COUNTA([4]Description!$S$5:$S$30),1)</definedName>
    <definedName name="budget_code">#REF!</definedName>
    <definedName name="budget_description">#REF!</definedName>
    <definedName name="BudgetUSDwithCAM">#REF!</definedName>
    <definedName name="budzet">#REF!:OFFSET(#REF!,COUNTA(#REF!)-2,0)</definedName>
    <definedName name="budzet_kod">#REF!:OFFSET(#REF!,COUNTA(#REF!)-2,0)</definedName>
    <definedName name="budzet_nazwa">#REF!:OFFSET(#REF!,COUNTA(#REF!)-2,0)</definedName>
    <definedName name="CAM">#REF!</definedName>
    <definedName name="CAMBUDGET">#REF!</definedName>
    <definedName name="CampColumn">[8]!tCamps[ComPcode]</definedName>
    <definedName name="CampStart">[8]!tCamps[[#Headers],[ComPcode]]</definedName>
    <definedName name="CHART">#REF!</definedName>
    <definedName name="CheckDate">'[9]Cover Sheet'!#REF!</definedName>
    <definedName name="Clusters">[10]Dropdown!$A$2:$A$55</definedName>
    <definedName name="coa">'[11]LAS budget  COMPLETED'!$J$9:$J$30</definedName>
    <definedName name="codes">'[12]WS with cashflow workings'!$J$10:$J$51</definedName>
    <definedName name="Community_Pcode">[10]Admin!$P$2:$P$500</definedName>
    <definedName name="Community_Start">[10]Admin!$P$1</definedName>
    <definedName name="Completed">#REF!</definedName>
    <definedName name="consamt">'[13]ROP ABB all coding completed  '!$G$9:$G$47</definedName>
    <definedName name="conscodes">'[13]ROP ABB all coding completed  '!$I$9:$I$47</definedName>
    <definedName name="Created">'[9]Cover Sheet'!#REF!</definedName>
    <definedName name="CurA">#REF!</definedName>
    <definedName name="CurB">#REF!</definedName>
    <definedName name="CurC">#REF!</definedName>
    <definedName name="curr">[14]dictionary!$B$2:$B$6</definedName>
    <definedName name="currency">#REF!</definedName>
    <definedName name="dane">#REF!</definedName>
    <definedName name="DATA">#REF!</definedName>
    <definedName name="DATA1">#REF!</definedName>
    <definedName name="DATA2">#REF!</definedName>
    <definedName name="Dc">[3]Variables!$F$25</definedName>
    <definedName name="dcode">'[11]LAS budget  COMPLETED'!$K$9:$K$30</definedName>
    <definedName name="department">#REF!</definedName>
    <definedName name="District_Pcode">[10]Admin!$H$2:$H$274</definedName>
    <definedName name="District_Start">[10]Admin!$H$1</definedName>
    <definedName name="Divisions">OFFSET('[15]Template Settings'!$B$18,1,0,COUNTA('[15]Template Settings'!$B$19:$B$39),1)</definedName>
    <definedName name="Donut1">"Donut 7,Donut 97,Donut 105,Donut 99,Donut 101,Donut 114,Donut 103,Donut 115,Donut 117,Donut 106,Donut 107,Donut 108,Donut 111,Donut 109,Donut 112,Donut 123,Donut 127,Donut 125,Donut 113,Donut 121,Donut 119"</definedName>
    <definedName name="dostawcy_kod">#REF!</definedName>
    <definedName name="dostawcy_tabela">#REF!</definedName>
    <definedName name="dostawcy_tekst">#REF!</definedName>
    <definedName name="dostawcy1">#REF!:OFFSET(#REF!,COUNTA(#REF!)-2,0)</definedName>
    <definedName name="dostawcy2">#REF!:OFFSET(#REF!,COUNTA(#REF!)-2,0)</definedName>
    <definedName name="druk">[4]Description!$A$19:$A$20</definedName>
    <definedName name="dw">[16]Description!$C$5:$C$401</definedName>
    <definedName name="ECHO">[17]definicje!$G$4:$G$298</definedName>
    <definedName name="EES">[7]Bands!$D$16</definedName>
    <definedName name="euros">'[18]Budget OFDA'!#REF!</definedName>
    <definedName name="Exchange">#REF!</definedName>
    <definedName name="ExchangeRate">#REF!</definedName>
    <definedName name="exrate">'[19]HSC project budget'!$L$1</definedName>
    <definedName name="fin">[4]Description!$C$5:$C$49</definedName>
    <definedName name="Five">#REF!</definedName>
    <definedName name="fyv">'[6]ULS Capacity'!$K$33</definedName>
    <definedName name="g">[20]Constants!$D$4</definedName>
    <definedName name="Governorate_Pcode">[10]Admin!$D$2:$D$63</definedName>
    <definedName name="Governorate_Start">[10]Admin!$D$1</definedName>
    <definedName name="Governorates">[10]Admin!$B$2:$B$15</definedName>
    <definedName name="Grade1">'[21]Salary scale Final (4)'!$A$3:$Z$3</definedName>
    <definedName name="Grade2">'[21]Salary scale Final (4)'!$A$4:$Z$4</definedName>
    <definedName name="Grade3">'[21]Salary scale Final (4)'!$A$5:$Z$5</definedName>
    <definedName name="Grade4">'[21]Salary scale Final (4)'!$A$6:$Z$6</definedName>
    <definedName name="Grade5">'[21]Salary scale Final (4)'!$A$7:$Z$7</definedName>
    <definedName name="Grade6">'[21]Salary scale Final (4)'!$A$8:$Z$8</definedName>
    <definedName name="Grade7">'[21]Salary scale Final (4)'!$A$9:$Z$9</definedName>
    <definedName name="Grade8">'[21]Salary scale Final (4)'!$A$10:$Z$10</definedName>
    <definedName name="Grade9">'[21]Salary scale Final (4)'!$A$11:$Z$11</definedName>
    <definedName name="Gross">[7]Bands!$D$13</definedName>
    <definedName name="h">[20]Constants!$C$6</definedName>
    <definedName name="Ia">[20]Constants!$C$3</definedName>
    <definedName name="IHSAN">#REF!</definedName>
    <definedName name="infl">'[13]Consolidated budget with ROP'!$D$64</definedName>
    <definedName name="INVOICENUMBER">[22]DATA!$C$2:$C$15</definedName>
    <definedName name="Iv">[20]Constants!$C$2</definedName>
    <definedName name="kodyPAH">[4]Description!$Q$5:$Q$261</definedName>
    <definedName name="konta">[4]Description!$I$5:$I$600</definedName>
    <definedName name="konta_numery">#REF!</definedName>
    <definedName name="konta_opisy">#REF!</definedName>
    <definedName name="konta_tabela">#REF!</definedName>
    <definedName name="kontap">[4]Description!$L$5:$L$700</definedName>
    <definedName name="koszty">#REF!:OFFSET(#REF!,COUNTA(#REF!)-2,0)</definedName>
    <definedName name="koszty_kod">#REF!:OFFSET(#REF!,COUNTA(#REF!)-2,0)</definedName>
    <definedName name="koszty_nazwa">#REF!:OFFSET(#REF!,COUNTA(#REF!)-2,0)</definedName>
    <definedName name="kursy">'[4]Exchange rates'!$A:$I</definedName>
    <definedName name="L">[3]Variables!$L$15</definedName>
    <definedName name="lines">#REF!</definedName>
    <definedName name="linie">#REF!</definedName>
    <definedName name="linie_budzetowe_2_kody">#REF!</definedName>
    <definedName name="linie_budzetowe_2_wartosci">#REF!</definedName>
    <definedName name="linie_budzetowe_numery">[23]definicje!$G$4:$G$298</definedName>
    <definedName name="linie_budzetowe_tabela_1">#REF!</definedName>
    <definedName name="linie_budzetowe_tabela_2">#REF!</definedName>
    <definedName name="linie_budzetowe_tekst">#REF!</definedName>
    <definedName name="Linie2">#REF!</definedName>
    <definedName name="list1">#REF!</definedName>
    <definedName name="LISTA">'[24]mapping '!$A:$A</definedName>
    <definedName name="lista1">#REF!</definedName>
    <definedName name="lista2">#REF!</definedName>
    <definedName name="lista3">#REF!</definedName>
    <definedName name="lista5">[25]pomocniczy!$K$5:$K$6</definedName>
    <definedName name="lkhklhjfd">[26]Description!$Q$5:$Q$300</definedName>
    <definedName name="lkj">[26]Description!$I$5:$I$152</definedName>
    <definedName name="Lm">[3]Variables!$L$15</definedName>
    <definedName name="location">[27]dictionary!$E$3:$E$5</definedName>
    <definedName name="LOCATIONS">[28]data!$A$2:$A$43</definedName>
    <definedName name="LogoHeader">'[15]Template Settings'!$B$40</definedName>
    <definedName name="LogoList" localSheetId="0">OFFSET(LogoHeader,2,0,COUNTA('[15]Template Settings'!$B$42:$B$48),1)</definedName>
    <definedName name="LogoList" localSheetId="6">OFFSET(LogoHeader,2,0,COUNTA('[15]Template Settings'!$B$42:$B$48),1)</definedName>
    <definedName name="LogoList" localSheetId="4">OFFSET(LogoHeader,2,0,COUNTA('[15]Template Settings'!$B$42:$B$48),1)</definedName>
    <definedName name="LogoList">OFFSET(LogoHeader,2,0,COUNTA('[15]Template Settings'!$B$42:$B$48),1)</definedName>
    <definedName name="misja" localSheetId="0">#REF!</definedName>
    <definedName name="misja">#REF!</definedName>
    <definedName name="misje">[29]Description!$A$6:$A$9</definedName>
    <definedName name="Month1">'[12]WS with cashflow workings'!$O$10:$O$52</definedName>
    <definedName name="Month2">'[12]WS with cashflow workings'!$P$10:$P$52</definedName>
    <definedName name="Month3">'[12]WS with cashflow workings'!$Q$10:$Q$51</definedName>
    <definedName name="Month4">'[12]WS with cashflow workings'!$R$10:$R$51</definedName>
    <definedName name="Month5">'[12]WS with cashflow workings'!$S$10:$S$51</definedName>
    <definedName name="Month6">'[12]WS with cashflow workings'!$T$10:$T$51</definedName>
    <definedName name="MPA">#REF!</definedName>
    <definedName name="n">[3]Variables!$F$15</definedName>
    <definedName name="nat_cur_code">#REF!</definedName>
    <definedName name="nazwiska">#REF!</definedName>
    <definedName name="oddzialy_kod">#REF!:OFFSET(#REF!,COUNTA(#REF!)-2,0)</definedName>
    <definedName name="oddzialy_nazwa">#REF!:OFFSET(#REF!,COUNTA(#REF!)-2,0)</definedName>
    <definedName name="oddzialy_numery">#REF!</definedName>
    <definedName name="oddzialy_numery_1">#REF!</definedName>
    <definedName name="oddzialy_opisy">#REF!</definedName>
    <definedName name="oddzialy_tabela">#REF!</definedName>
    <definedName name="ok">[30]Description!$P$5:$P$9</definedName>
    <definedName name="Outcome">[31]DropDownValues!$A$2:$A$11</definedName>
    <definedName name="Outcome1">[31]DropDownValues!#REF!</definedName>
    <definedName name="Outcome10">[31]DropDownValues!#REF!</definedName>
    <definedName name="Outcome2">[31]DropDownValues!#REF!</definedName>
    <definedName name="Outcome3">[31]DropDownValues!#REF!</definedName>
    <definedName name="Outcome4">[31]DropDownValues!#REF!</definedName>
    <definedName name="Outcome5">[31]DropDownValues!#REF!</definedName>
    <definedName name="Outcome6">[31]DropDownValues!#REF!</definedName>
    <definedName name="Outcome7">[31]DropDownValues!#REF!</definedName>
    <definedName name="Outcome8">[31]DropDownValues!#REF!</definedName>
    <definedName name="Outcome9">[31]DropDownValues!#REF!</definedName>
    <definedName name="Overheads">'[32]Legacy Consolidated'!$H$54</definedName>
    <definedName name="PartnerList">[33]!PartnerDetails[Heading for activity tab]</definedName>
    <definedName name="PAYE">[7]Bands!$B$26</definedName>
    <definedName name="payment">#REF!</definedName>
    <definedName name="period_end_1">#REF!</definedName>
    <definedName name="period_end_10">#REF!</definedName>
    <definedName name="period_end_11">#REF!</definedName>
    <definedName name="period_end_12">#REF!</definedName>
    <definedName name="period_end_2">#REF!</definedName>
    <definedName name="period_end_3">#REF!</definedName>
    <definedName name="period_end_4">#REF!</definedName>
    <definedName name="period_end_5">#REF!</definedName>
    <definedName name="period_end_6">#REF!</definedName>
    <definedName name="period_end_7">#REF!</definedName>
    <definedName name="period_end_8">#REF!</definedName>
    <definedName name="period_end_9">#REF!</definedName>
    <definedName name="PLACE">[34]dictionary!$A$2:$A$9</definedName>
    <definedName name="płatnicy">[35]pomocniczy!$B$41:$B$42</definedName>
    <definedName name="Position">[36]dictionary!$B$4:$B$92</definedName>
    <definedName name="print_ar2">#REF!</definedName>
    <definedName name="_xlnm.Print_Area" localSheetId="0">BoQ!$A$1:$F$105</definedName>
    <definedName name="_xlnm.Print_Area" localSheetId="2">'Scope of work '!$A$1:$C$43</definedName>
    <definedName name="_xlnm.Print_Area" localSheetId="3">'Technical Specification'!$A$1:$B$62</definedName>
    <definedName name="_xlnm.Print_Area">'[37]Cashflow completed'!$A$1:$N$23</definedName>
    <definedName name="_xlnm.Print_Titles" localSheetId="0">BoQ!$1:$8</definedName>
    <definedName name="_xlnm.Print_Titles" localSheetId="2">'Scope of work '!$1:$7</definedName>
    <definedName name="_xlnm.Print_Titles" localSheetId="3">'Technical Specification'!$1:$8</definedName>
    <definedName name="PRINT_TITLES_MI">#REF!</definedName>
    <definedName name="printA">#REF!</definedName>
    <definedName name="printRP">'[38]Bankbook completed'!$A$3:$I$30</definedName>
    <definedName name="PROAREA_COL">[39]!Table4[Programme area]</definedName>
    <definedName name="PROAREA_START">[39]!Table4[[#Headers],[Programme area]]</definedName>
    <definedName name="project">[40]Description!$M$5:$M$20</definedName>
    <definedName name="Projects">#REF!</definedName>
    <definedName name="projekt">[4]Description!$M$5:$M$20</definedName>
    <definedName name="projekt_kod_2">#REF!</definedName>
    <definedName name="projekt_nazwa">#REF!:OFFSET(#REF!,COUNTA(#REF!)-2,0)</definedName>
    <definedName name="projekt_numery">#REF!</definedName>
    <definedName name="projekt_opisy">#REF!</definedName>
    <definedName name="projekt_tabela">#REF!</definedName>
    <definedName name="projekty">#REF!</definedName>
    <definedName name="Projekty_zrodla">#REF!:OFFSET(#REF!,COUNTA(#REF!)-2,0)</definedName>
    <definedName name="PWB">[4]Description!$A$13:$A$15</definedName>
    <definedName name="Q">[3]Variables!$F$24</definedName>
    <definedName name="qryReportToExcel">#REF!</definedName>
    <definedName name="rate">#REF!</definedName>
    <definedName name="rate_type">#REF!</definedName>
    <definedName name="Rate1">[7]Bands!$F$7</definedName>
    <definedName name="Rate2">[7]Bands!$F$8</definedName>
    <definedName name="Rate3">[7]Bands!$F$9</definedName>
    <definedName name="RBALANCE">'[31]1 - Outcome level'!#REF!</definedName>
    <definedName name="revex">'[41]Cons. budget Legacy'!#REF!</definedName>
    <definedName name="rngCurrency">#REF!</definedName>
    <definedName name="Sc">[3]Variables!$F$29</definedName>
    <definedName name="sectorlist">#REF!</definedName>
    <definedName name="sg">[3]Variables!#REF!</definedName>
    <definedName name="sheet4">#REF!</definedName>
    <definedName name="SheetsTop">'[9]Cover Sheet'!#REF!</definedName>
    <definedName name="SubA">#REF!</definedName>
    <definedName name="SubB">#REF!</definedName>
    <definedName name="SubC">#REF!</definedName>
    <definedName name="SubD">#REF!</definedName>
    <definedName name="Subdistrict_Pcode">[10]Admin!$L$2:$L$5715</definedName>
    <definedName name="Subdistrict_Start">[10]Admin!$L$1</definedName>
    <definedName name="SubTD">[42]Cons!$F$26</definedName>
    <definedName name="SubTotalA">#REF!</definedName>
    <definedName name="SubTotalB">#REF!</definedName>
    <definedName name="SubTotalC">#REF!</definedName>
    <definedName name="SubTotalD">#REF!</definedName>
    <definedName name="Table1">'[21]staff startiing date'!$A$1:$E$40</definedName>
    <definedName name="Tax">[7]Bands!$E$5:$H$10</definedName>
    <definedName name="TEST0">#REF!</definedName>
    <definedName name="TESTKEYS">#REF!</definedName>
    <definedName name="TESTVKEY">#REF!</definedName>
    <definedName name="TINC">#REF!</definedName>
    <definedName name="Tl">[3]Variables!$F$19</definedName>
    <definedName name="tłumaczenia">[35]pomocniczy!$B$44:$B$48</definedName>
    <definedName name="total">'[18]Budget OFDA'!#REF!</definedName>
    <definedName name="total1">'[43]Apportion results2'!$K$11</definedName>
    <definedName name="TotalA">[44]CS!$F$9</definedName>
    <definedName name="TotalB">[44]CS!$F$21</definedName>
    <definedName name="TotalC">[44]CS!$F$34</definedName>
    <definedName name="TotalC1">[44]CS!$F$34</definedName>
    <definedName name="TotalD">[44]CS!$F$42</definedName>
    <definedName name="TotalExp">'[32]Legacy Consolidated'!$I$54</definedName>
    <definedName name="TotalInc">'[32]Legacy Consolidated'!$I$18</definedName>
    <definedName name="TotalLAS">#REF!</definedName>
    <definedName name="Type_of_location">[10]Dropdown!$C$2:$C$5</definedName>
    <definedName name="usd">'[11]LAS budget  COMPLETED'!$H$9:$H$30</definedName>
    <definedName name="Version">'[9]Cover Sheet'!#REF!</definedName>
    <definedName name="w">[3]Variables!#REF!</definedName>
    <definedName name="waluty">[4]Description!$P$5:$P$9</definedName>
    <definedName name="x">[20]Constants!$C$7</definedName>
    <definedName name="y">[20]Constants!$C$8</definedName>
    <definedName name="Zaliczki">[45]Description!$P$5:$P$9</definedName>
    <definedName name="zrodla_nazwa">#REF!:OFFSET(#REF!,COUNTA(#REF!)-2,0)</definedName>
    <definedName name="zrodla_nazwa_kod">#REF!:OFFSET(#REF!,COUNTA(#REF!)-2,0)</definedName>
    <definedName name="zrodlo_fin_numery">#REF!</definedName>
    <definedName name="zrodlo_fin_tekst">#REF!</definedName>
    <definedName name="zrodlo_numery">#REF!</definedName>
    <definedName name="zrodlo_opis">#REF!</definedName>
    <definedName name="zrodlo_tabela">#REF!</definedName>
    <definedName name="zrodlo_tekst">#REF!</definedName>
    <definedName name="ドルレート">#REF!</definedName>
    <definedName name="国内旅費">#REF!</definedName>
    <definedName name="国内活動費">#REF!</definedName>
    <definedName name="国内費">#REF!</definedName>
    <definedName name="地域">#REF!</definedName>
    <definedName name="基本人件費">#REF!</definedName>
    <definedName name="基盤整備費合計">#REF!</definedName>
    <definedName name="報告書作成費合計">#REF!</definedName>
    <definedName name="契約年度">#REF!</definedName>
    <definedName name="技術交換費合計">#REF!</definedName>
    <definedName name="海外活動費">#REF!</definedName>
    <definedName name="現地業務費合計">#REF!</definedName>
    <definedName name="現地研修費合計">#REF!</definedName>
    <definedName name="現地通貨レート">#REF!</definedName>
    <definedName name="直人費コンサル">#REF!</definedName>
    <definedName name="直接経費">#REF!</definedName>
    <definedName name="直接費">#REF!</definedName>
    <definedName name="積算総額">#REF!</definedName>
    <definedName name="航空賃C">#REF!</definedName>
    <definedName name="航空賃Y">#REF!</definedName>
    <definedName name="設備・機材費">#REF!</definedName>
    <definedName name="資機材費合計">#REF!</definedName>
    <definedName name="通訳単価">#REF!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7" i="8" l="1"/>
  <c r="D61" i="8"/>
  <c r="D62" i="8"/>
  <c r="D63" i="8"/>
  <c r="D64" i="8"/>
  <c r="D66" i="8"/>
  <c r="D67" i="8"/>
  <c r="D68" i="8"/>
  <c r="D69" i="8"/>
  <c r="D70" i="8"/>
  <c r="D71" i="8"/>
  <c r="D104" i="8"/>
  <c r="D103" i="8"/>
  <c r="D102" i="8"/>
  <c r="D101" i="8"/>
  <c r="D100" i="8"/>
  <c r="D99" i="8"/>
  <c r="D97" i="8"/>
  <c r="D96" i="8"/>
  <c r="D95" i="8"/>
  <c r="D94" i="8"/>
  <c r="D93" i="8"/>
  <c r="D92" i="8"/>
  <c r="D87" i="8"/>
  <c r="D83" i="8"/>
  <c r="D81" i="8"/>
  <c r="D80" i="8"/>
  <c r="D79" i="8"/>
  <c r="D78" i="8"/>
  <c r="D74" i="8"/>
  <c r="D75" i="8" s="1"/>
  <c r="D54" i="8"/>
  <c r="D53" i="8"/>
  <c r="D52" i="8"/>
  <c r="D51" i="8"/>
  <c r="D50" i="8"/>
  <c r="D49" i="8"/>
  <c r="D47" i="8"/>
  <c r="D46" i="8"/>
  <c r="D45" i="8"/>
  <c r="D44" i="8"/>
  <c r="D40" i="8"/>
  <c r="D37" i="8"/>
  <c r="D36" i="8"/>
  <c r="D35" i="8"/>
  <c r="D34" i="8"/>
  <c r="D33" i="8"/>
  <c r="D32" i="8"/>
  <c r="D30" i="8"/>
  <c r="D29" i="8"/>
  <c r="D28" i="8"/>
  <c r="D27" i="8"/>
  <c r="D23" i="8"/>
  <c r="D25" i="8" s="1"/>
  <c r="D20" i="8"/>
  <c r="D19" i="8"/>
  <c r="D18" i="8"/>
  <c r="D17" i="8"/>
  <c r="D16" i="8"/>
  <c r="D15" i="8"/>
  <c r="D13" i="8"/>
  <c r="F12" i="8" s="1"/>
  <c r="D10" i="6"/>
  <c r="D9" i="6"/>
  <c r="N44" i="5"/>
  <c r="K43" i="5"/>
  <c r="K44" i="5" s="1"/>
  <c r="O42" i="5"/>
  <c r="Y7" i="5"/>
  <c r="C13" i="5" s="1"/>
  <c r="D19" i="5" s="1"/>
  <c r="S7" i="5"/>
  <c r="C10" i="5" s="1"/>
  <c r="E21" i="5" s="1"/>
  <c r="J7" i="5"/>
  <c r="C6" i="5" s="1"/>
  <c r="Y6" i="5"/>
  <c r="V6" i="5"/>
  <c r="S6" i="5"/>
  <c r="P6" i="5"/>
  <c r="J6" i="5"/>
  <c r="M5" i="5" s="1"/>
  <c r="M6" i="5" s="1"/>
  <c r="C7" i="5" s="1"/>
  <c r="C20" i="5" s="1"/>
  <c r="AB5" i="5"/>
  <c r="AB6" i="5" s="1"/>
  <c r="V5" i="5"/>
  <c r="V7" i="5" s="1"/>
  <c r="C11" i="5" s="1"/>
  <c r="P5" i="5"/>
  <c r="P7" i="5" s="1"/>
  <c r="C8" i="5" s="1"/>
  <c r="C21" i="5" s="1"/>
  <c r="J5" i="5"/>
  <c r="V4" i="5"/>
  <c r="C16" i="4"/>
  <c r="C15" i="4"/>
  <c r="C17" i="4" s="1"/>
  <c r="C28" i="4" s="1"/>
  <c r="G14" i="4"/>
  <c r="E28" i="4" s="1"/>
  <c r="E14" i="4"/>
  <c r="D28" i="4" s="1"/>
  <c r="C14" i="4"/>
  <c r="G13" i="4"/>
  <c r="E13" i="4"/>
  <c r="C13" i="4"/>
  <c r="G12" i="4"/>
  <c r="E12" i="4"/>
  <c r="C12" i="4"/>
  <c r="C10" i="4"/>
  <c r="C9" i="4"/>
  <c r="C11" i="4" s="1"/>
  <c r="C7" i="4"/>
  <c r="C6" i="4"/>
  <c r="C8" i="4" s="1"/>
  <c r="B28" i="4" s="1"/>
  <c r="D58" i="8" l="1"/>
  <c r="F60" i="8"/>
  <c r="D59" i="8"/>
  <c r="F65" i="8"/>
  <c r="F82" i="8"/>
  <c r="D42" i="8"/>
  <c r="F48" i="8"/>
  <c r="D76" i="8"/>
  <c r="D88" i="8"/>
  <c r="D41" i="8"/>
  <c r="D90" i="8"/>
  <c r="F91" i="8"/>
  <c r="F26" i="8"/>
  <c r="F14" i="8"/>
  <c r="F11" i="8" s="1"/>
  <c r="F77" i="8"/>
  <c r="F43" i="8"/>
  <c r="F31" i="8"/>
  <c r="F98" i="8"/>
  <c r="D24" i="8"/>
  <c r="J16" i="5"/>
  <c r="C18" i="5"/>
  <c r="I11" i="5"/>
  <c r="D21" i="5"/>
  <c r="AB7" i="5"/>
  <c r="C14" i="5" s="1"/>
  <c r="E19" i="5" s="1"/>
  <c r="F56" i="8" l="1"/>
  <c r="F55" i="8"/>
  <c r="F73" i="8"/>
  <c r="F72" i="8" s="1"/>
  <c r="F22" i="8"/>
  <c r="F21" i="8" s="1"/>
  <c r="F39" i="8"/>
  <c r="F38" i="8" s="1"/>
  <c r="F86" i="8"/>
  <c r="F85" i="8" s="1"/>
  <c r="F105" i="8" l="1"/>
</calcChain>
</file>

<file path=xl/sharedStrings.xml><?xml version="1.0" encoding="utf-8"?>
<sst xmlns="http://schemas.openxmlformats.org/spreadsheetml/2006/main" count="709" uniqueCount="361">
  <si>
    <t xml:space="preserve">Project Technical Documents </t>
  </si>
  <si>
    <t>Project Code: DR.0060</t>
  </si>
  <si>
    <t xml:space="preserve">Project Name : Bor Flood Risk Management </t>
  </si>
  <si>
    <t>Title: Detailed overview of modelled interventions</t>
  </si>
  <si>
    <t>Ref.</t>
  </si>
  <si>
    <t>ID</t>
  </si>
  <si>
    <t xml:space="preserve">GPS Coordinates </t>
  </si>
  <si>
    <t xml:space="preserve">Intervention type </t>
  </si>
  <si>
    <t>Scenario</t>
  </si>
  <si>
    <t>1 Khor Hong South</t>
  </si>
  <si>
    <t>B-1-2</t>
  </si>
  <si>
    <t>6.152972°, 31.578000°</t>
  </si>
  <si>
    <t>Increase culvert capacity and add gates to keep river
water out</t>
  </si>
  <si>
    <t>5 barrels at 1.2m x 1.2m</t>
  </si>
  <si>
    <t>2 Khor Hong North</t>
  </si>
  <si>
    <t>B-2-1</t>
  </si>
  <si>
    <t>New culvert</t>
  </si>
  <si>
    <t>6 barrels at 1.2m x 1.2m</t>
  </si>
  <si>
    <t>3 Bor South</t>
  </si>
  <si>
    <t xml:space="preserve">B-3-1 </t>
  </si>
  <si>
    <t>New dyke culvert with gates</t>
  </si>
  <si>
    <t>H 3-4</t>
  </si>
  <si>
    <t>New culvert with gates</t>
  </si>
  <si>
    <t>4 barrels at 1.2m x 1.2m</t>
  </si>
  <si>
    <t>5 Bor Central South</t>
  </si>
  <si>
    <t>B-5-2</t>
  </si>
  <si>
    <t>6.211277°, 31.562830°</t>
  </si>
  <si>
    <t>New culvert - towards Central North</t>
  </si>
  <si>
    <t>4 barrels at 1.2m x 1.2m  
0.7km drainage canal near culvert</t>
  </si>
  <si>
    <t>8 Bor Market</t>
  </si>
  <si>
    <t>B-8-1</t>
  </si>
  <si>
    <t>Increase culvert capacity and add gates</t>
  </si>
  <si>
    <t xml:space="preserve">2 barrels at 1.2m x 1.2m </t>
  </si>
  <si>
    <t>Total</t>
  </si>
  <si>
    <t>Description</t>
  </si>
  <si>
    <t>Unit</t>
  </si>
  <si>
    <t>Quantity</t>
  </si>
  <si>
    <t>Unit cost (USD)</t>
  </si>
  <si>
    <t>Cost (USD)</t>
  </si>
  <si>
    <t xml:space="preserve">List of Locations </t>
  </si>
  <si>
    <t xml:space="preserve">Drawing Reference </t>
  </si>
  <si>
    <t>Gated Culvert</t>
  </si>
  <si>
    <t>Large Culvert</t>
  </si>
  <si>
    <t>6.218177°, 31.547392°</t>
  </si>
  <si>
    <t>B-1-2 Gated Culvert</t>
  </si>
  <si>
    <t> </t>
  </si>
  <si>
    <t>Quality Checklist + Photos</t>
  </si>
  <si>
    <t xml:space="preserve"> Scope of Work </t>
  </si>
  <si>
    <t>Excavation works</t>
  </si>
  <si>
    <t>Output</t>
  </si>
  <si>
    <t xml:space="preserve">Activities and Tasks </t>
  </si>
  <si>
    <t>Number of Days Per Location</t>
  </si>
  <si>
    <t>Objective 1 : Gated Culvert</t>
  </si>
  <si>
    <t xml:space="preserve">B-3-1 Gated Culvert </t>
  </si>
  <si>
    <t>H 3-4 Gated Culvert</t>
  </si>
  <si>
    <t xml:space="preserve">B-2-1 Gated Culvert </t>
  </si>
  <si>
    <t>B-5-2 Large Culvert</t>
  </si>
  <si>
    <t>B-8-1 Gated Culvert</t>
  </si>
  <si>
    <t xml:space="preserve">Cubic Meter </t>
  </si>
  <si>
    <t xml:space="preserve">Title: Bill of Quantites </t>
  </si>
  <si>
    <t>Title: Scope Of Work</t>
  </si>
  <si>
    <t>Mobilization of personnel, workers, materials etc to site</t>
  </si>
  <si>
    <t>Setting out of site and site clearance</t>
  </si>
  <si>
    <t>2 to 3</t>
  </si>
  <si>
    <t>Removal of existing unaligned culverts for realignment</t>
  </si>
  <si>
    <t>Culvert foundation works (Boulder placement, sharp sand and lean concrete blinding work)</t>
  </si>
  <si>
    <t>Reinstallation of old culverts and new precast culvert installation</t>
  </si>
  <si>
    <t>7 to 14</t>
  </si>
  <si>
    <t>Head and wing walls construction and finishing work</t>
  </si>
  <si>
    <t>Installation of prefabricated flap gates to culvert walls</t>
  </si>
  <si>
    <t>Backfill and compaction work</t>
  </si>
  <si>
    <t>Testing and commissioning</t>
  </si>
  <si>
    <t>Demobilization and site cleaning</t>
  </si>
  <si>
    <t>Handover</t>
  </si>
  <si>
    <t>Levelling and Compaction work</t>
  </si>
  <si>
    <t>Commissioning</t>
  </si>
  <si>
    <t>Site Preparation</t>
  </si>
  <si>
    <t xml:space="preserve">Site cleaning including and not limited to removal of rubbish, stumps and any other material existed onsite that even might hinder the site preparation works, with disposal of removed material as per the pre-agreed disposal sites. And installation of safety barriers. as agreed before commencing the contract and shown in technical specifications. </t>
  </si>
  <si>
    <t>Culvert</t>
  </si>
  <si>
    <t>1.1.1</t>
  </si>
  <si>
    <t>1.2.1</t>
  </si>
  <si>
    <t>1.2.2</t>
  </si>
  <si>
    <t>1.2.3</t>
  </si>
  <si>
    <t>1.2.4</t>
  </si>
  <si>
    <t>Flap Gates</t>
  </si>
  <si>
    <t xml:space="preserve">Kilogram </t>
  </si>
  <si>
    <r>
      <t xml:space="preserve">Supply and install 12 mm thick steel </t>
    </r>
    <r>
      <rPr>
        <b/>
        <sz val="10"/>
        <color theme="1"/>
        <rFont val="Calibri"/>
        <family val="2"/>
        <scheme val="minor"/>
      </rPr>
      <t>flap door</t>
    </r>
    <r>
      <rPr>
        <sz val="10"/>
        <color theme="1"/>
        <rFont val="Calibri"/>
        <family val="2"/>
        <scheme val="minor"/>
      </rPr>
      <t xml:space="preserve"> (Density = 7850 kg/m3) to fabricate flap gate with dimensions of 1200 mm X 1200 mm </t>
    </r>
  </si>
  <si>
    <r>
      <t xml:space="preserve">Supply and install steel </t>
    </r>
    <r>
      <rPr>
        <b/>
        <sz val="10"/>
        <color theme="1"/>
        <rFont val="Calibri"/>
        <family val="2"/>
        <scheme val="minor"/>
      </rPr>
      <t>frame</t>
    </r>
    <r>
      <rPr>
        <sz val="10"/>
        <color theme="1"/>
        <rFont val="Calibri"/>
        <family val="2"/>
        <scheme val="minor"/>
      </rPr>
      <t xml:space="preserve"> (Density = 7850 kg/m3) with dimensions of 12 mm thick X 100 mm wide</t>
    </r>
  </si>
  <si>
    <r>
      <t xml:space="preserve">Supply and install </t>
    </r>
    <r>
      <rPr>
        <b/>
        <sz val="10"/>
        <color theme="1"/>
        <rFont val="Calibri"/>
        <family val="2"/>
        <scheme val="minor"/>
      </rPr>
      <t>Three steel hinges</t>
    </r>
    <r>
      <rPr>
        <sz val="10"/>
        <color theme="1"/>
        <rFont val="Calibri"/>
        <family val="2"/>
        <scheme val="minor"/>
      </rPr>
      <t xml:space="preserve"> (Density = 7850 kg/m3) with the dimensions of 70 mm ID 90 mm OD 100 mm long</t>
    </r>
  </si>
  <si>
    <r>
      <t xml:space="preserve">Supply and install one </t>
    </r>
    <r>
      <rPr>
        <b/>
        <sz val="10"/>
        <color theme="1"/>
        <rFont val="Calibri"/>
        <family val="2"/>
        <scheme val="minor"/>
      </rPr>
      <t>Seal</t>
    </r>
    <r>
      <rPr>
        <sz val="10"/>
        <color theme="1"/>
        <rFont val="Calibri"/>
        <family val="2"/>
        <scheme val="minor"/>
      </rPr>
      <t xml:space="preserve"> faricated from Neoprene sheets (Density = 1230 Kg/m3) with dimensions of 20 mm thick and 50 mm wide </t>
    </r>
  </si>
  <si>
    <r>
      <t xml:space="preserve">Supply and install </t>
    </r>
    <r>
      <rPr>
        <b/>
        <sz val="10"/>
        <color theme="1"/>
        <rFont val="Calibri"/>
        <family val="2"/>
        <scheme val="minor"/>
      </rPr>
      <t>three bushes</t>
    </r>
    <r>
      <rPr>
        <sz val="10"/>
        <color theme="1"/>
        <rFont val="Calibri"/>
        <family val="2"/>
        <scheme val="minor"/>
      </rPr>
      <t xml:space="preserve"> fabricated from bronze rods (Density = 8770 Kg/m3) with the dimensions of 50 mm ID X 70 mm  OD X 100 mm long</t>
    </r>
  </si>
  <si>
    <r>
      <t xml:space="preserve">Supply and install </t>
    </r>
    <r>
      <rPr>
        <b/>
        <sz val="10"/>
        <color theme="1"/>
        <rFont val="Calibri"/>
        <family val="2"/>
        <scheme val="minor"/>
      </rPr>
      <t>three hinges pins</t>
    </r>
    <r>
      <rPr>
        <sz val="10"/>
        <color theme="1"/>
        <rFont val="Calibri"/>
        <family val="2"/>
        <scheme val="minor"/>
      </rPr>
      <t xml:space="preserve"> fabricated from Stainless Steel Rod (Density =7850 kg/m3) with the dimensions of 50 mm X100 mm</t>
    </r>
  </si>
  <si>
    <t>6.261533°, 31.572833°</t>
  </si>
  <si>
    <t>FLAP GATES</t>
  </si>
  <si>
    <t>General Parameters</t>
  </si>
  <si>
    <t>Flap door assumed to comprise:</t>
  </si>
  <si>
    <t>Material</t>
  </si>
  <si>
    <t>no.</t>
  </si>
  <si>
    <t>Plate</t>
  </si>
  <si>
    <t>mm</t>
  </si>
  <si>
    <t>thick</t>
  </si>
  <si>
    <t>Steel</t>
  </si>
  <si>
    <r>
      <t>kg/m</t>
    </r>
    <r>
      <rPr>
        <vertAlign val="superscript"/>
        <sz val="11"/>
        <color theme="1"/>
        <rFont val="Calibri"/>
        <family val="2"/>
        <scheme val="minor"/>
      </rPr>
      <t>3</t>
    </r>
  </si>
  <si>
    <t>Height</t>
  </si>
  <si>
    <t>Beams</t>
  </si>
  <si>
    <t>UB</t>
  </si>
  <si>
    <t>kg/m</t>
  </si>
  <si>
    <t>Width</t>
  </si>
  <si>
    <t>Hinge brackets</t>
  </si>
  <si>
    <t>Flap Door</t>
  </si>
  <si>
    <t>Volume=</t>
  </si>
  <si>
    <r>
      <t>m</t>
    </r>
    <r>
      <rPr>
        <vertAlign val="superscript"/>
        <sz val="11"/>
        <color theme="1"/>
        <rFont val="Calibri"/>
        <family val="2"/>
        <scheme val="minor"/>
      </rPr>
      <t>3</t>
    </r>
  </si>
  <si>
    <t>OD</t>
  </si>
  <si>
    <t>Material=</t>
  </si>
  <si>
    <t>long</t>
  </si>
  <si>
    <t>Mass=</t>
  </si>
  <si>
    <t>kg (inc 20% for welds &amp; paint)</t>
  </si>
  <si>
    <t>Bush</t>
  </si>
  <si>
    <t>Bronze</t>
  </si>
  <si>
    <t>Frame</t>
  </si>
  <si>
    <t>Hinge pins</t>
  </si>
  <si>
    <t>Stainless steel</t>
  </si>
  <si>
    <t>Hinges</t>
  </si>
  <si>
    <t>Seal</t>
  </si>
  <si>
    <t>Neoprene</t>
  </si>
  <si>
    <t>kg (inc 5% contingency)</t>
  </si>
  <si>
    <t>wide</t>
  </si>
  <si>
    <t>Flap frame assumed to comprise:</t>
  </si>
  <si>
    <t>required if good metal to metal seal is not possible</t>
  </si>
  <si>
    <t>60 to 70 shore</t>
  </si>
  <si>
    <t>hardness is important</t>
  </si>
  <si>
    <t>EPDM</t>
  </si>
  <si>
    <t>Summary for material estimate sheet</t>
  </si>
  <si>
    <t>Stainless Steel</t>
  </si>
  <si>
    <t>plates</t>
  </si>
  <si>
    <t>sheet</t>
  </si>
  <si>
    <t>rod</t>
  </si>
  <si>
    <t>kg</t>
  </si>
  <si>
    <t>LARGE CULVERT GEOMETRIC PROPERTIES (INITIAL DESIGN SIZING)</t>
  </si>
  <si>
    <t>Culvert Box</t>
  </si>
  <si>
    <t>Culvert Joint (per box)</t>
  </si>
  <si>
    <t>Bed (per box)</t>
  </si>
  <si>
    <t>Apron (adjacent to wing wall) for both upstream and downstream sections</t>
  </si>
  <si>
    <t>Apron infront of culvert boxes (per barrel) for both upstream and downstream sections</t>
  </si>
  <si>
    <t>Headwall (per barrel) for both upstream and downstream sections</t>
  </si>
  <si>
    <t>Wingwalls</t>
  </si>
  <si>
    <t>SUMMARY FOR CALCULATED QUANTITIES PER BOX/BARREL OF CULVERT</t>
  </si>
  <si>
    <t>Property</t>
  </si>
  <si>
    <t>Qty</t>
  </si>
  <si>
    <t>#</t>
  </si>
  <si>
    <t>Item</t>
  </si>
  <si>
    <t>Quantity Calculated</t>
  </si>
  <si>
    <t>Unit of Calculation</t>
  </si>
  <si>
    <t>Box Length</t>
  </si>
  <si>
    <t>m</t>
  </si>
  <si>
    <t>Thickness</t>
  </si>
  <si>
    <t>Apron Length</t>
  </si>
  <si>
    <t>Height above box</t>
  </si>
  <si>
    <t>(To be multiplied by  length and no. of barrels)</t>
  </si>
  <si>
    <t>Box Height</t>
  </si>
  <si>
    <t>Perimeter</t>
  </si>
  <si>
    <t>Area</t>
  </si>
  <si>
    <t>m2</t>
  </si>
  <si>
    <t>Apron Width</t>
  </si>
  <si>
    <t>Length</t>
  </si>
  <si>
    <t>Box</t>
  </si>
  <si>
    <t>m3 per box</t>
  </si>
  <si>
    <t>Box Width</t>
  </si>
  <si>
    <t>Volume</t>
  </si>
  <si>
    <t>m3</t>
  </si>
  <si>
    <t>Lower Volume</t>
  </si>
  <si>
    <t>Joint</t>
  </si>
  <si>
    <t>Upper Volume</t>
  </si>
  <si>
    <t>Bed</t>
  </si>
  <si>
    <t>Apron</t>
  </si>
  <si>
    <t>Apron (for all)</t>
  </si>
  <si>
    <t>m3 for all (independent of no. of barrels)</t>
  </si>
  <si>
    <t>Apron (per box)</t>
  </si>
  <si>
    <t>m3 per barrel</t>
  </si>
  <si>
    <t>RC Structure</t>
  </si>
  <si>
    <t>Headwall</t>
  </si>
  <si>
    <t>m3 for all</t>
  </si>
  <si>
    <t>Table for material and parameter multiplication</t>
  </si>
  <si>
    <t>per box</t>
  </si>
  <si>
    <t>per barrel</t>
  </si>
  <si>
    <t>per asset</t>
  </si>
  <si>
    <t>Precast Reinforced Concrete (RC)</t>
  </si>
  <si>
    <t>In Situ Reinforced Concrete (RC)</t>
  </si>
  <si>
    <t>-</t>
  </si>
  <si>
    <t>Joint Filler</t>
  </si>
  <si>
    <t>Concrete</t>
  </si>
  <si>
    <t>KEY</t>
  </si>
  <si>
    <t>All input values in blue against dark gray backgound</t>
  </si>
  <si>
    <t>All calculated values in green against light grey background</t>
  </si>
  <si>
    <t>Appendix A5.1 barrel sizes</t>
  </si>
  <si>
    <t>Upstream and downstream,</t>
  </si>
  <si>
    <t>DRAINAGE CHANNEL CROSS SECTION PROPERTIES</t>
  </si>
  <si>
    <t>General Parameters (And Summary )</t>
  </si>
  <si>
    <t>Slope</t>
  </si>
  <si>
    <t xml:space="preserve">1 in </t>
  </si>
  <si>
    <t>Bottom Width</t>
  </si>
  <si>
    <t>General Conditions</t>
  </si>
  <si>
    <t>Samples of the materials to be used in any of the work activities shall be submitted with adequate information about them issued by the equipped company showing their characteristics in detail and specifying the specification under which they were produced and after the approval of the supervising engineer on a model that is signed by the contractor and the engineer and kept with the latter to compare it with the consignments supplied.</t>
  </si>
  <si>
    <t>The Contractor acknowledges that he has inspected the site before setting prices and is responsible for facing all the difficulties that may face him due to the nature or condition of the site that appears during the execution process of whatever type and nature and the contractor must make sure for himself to bear the component parts of the building and its accessories on which the works to be carried out are located.</t>
  </si>
  <si>
    <t xml:space="preserve"> The contractor shall bear all costs of material damage and maintenance work in the event of any damage to the facilities and infrastructure (service lines, sewage pipes and electrical cables) of the buildings located at the work sites and neighboring areas that he may find during the implementation of breakage, damage or the like, during the period of execution of the works and the restoration of the situation to what it was</t>
  </si>
  <si>
    <t>The contractor shall provide water and electricity services to the site and in the quantities and capacity required by the implementation of the project and may contract for this purpose with the relevant authorities or rely on generators, filter units and transport of mobile water for the duration of the implementation and the contractor shall bear the costs of delivering water and electricity and pay the fees and wages that result therefrom and for the duration of the contract and strictly prohibit the use of electricity and water from the people and beneficiaries.</t>
  </si>
  <si>
    <t xml:space="preserve"> The contractor shall be solely responsible for all building materials, tools, and other equipment located at the work site.</t>
  </si>
  <si>
    <t xml:space="preserve"> Before the delivery phase and completion of the implementation of the works, the contractor must clean the site and remove all excess materials, waste and rubble from inside and outside the site to a landfill approved by the supervising engineer. </t>
  </si>
  <si>
    <t>Leveling excavation and backfill</t>
  </si>
  <si>
    <t xml:space="preserve">The contractor shall settle the site and remove rubble, weeds and dirt </t>
  </si>
  <si>
    <t>The contractor shall provide the contractor with sufficient information for the planning of the project (for the main planning points or for existing installations) and the contractor shall plan all parts of the project and plant fixed pegs on the heads of the markers in a manner consistent with the plans, provided that such planning is fixed, clear and easily accessible at any stage of the work.</t>
  </si>
  <si>
    <t xml:space="preserve"> Excavations of any kind (earthen and rocky) are carried out using mechanical machines and workers according to the annexes of the contract, and the excavation residues are carried over to the places specified by the supervising engineer or used if they are suitable for backfilling in accordance with the directives of the supervising engineer.</t>
  </si>
  <si>
    <t xml:space="preserve">The backfill is carried out using the mechanisms mentioned in the annexes of the contract, with wetting and mud to reach a degree of stacking by 95%, the stacking is done on layers not more than 30 cm before stacking, the quantities after the molting are measured in the appropriate ways determined by the supervising engineer, provided that the final settlement is done using the cradle (creder) and the contractor is not given any compensation for the excess drilling products of the basic excavations that have been used as they are covered by the excavation clause </t>
  </si>
  <si>
    <t>In case of backfilling in places that cannot be reached by the landfills, the contractor shall secure small rollers that provide adequate stacking without affecting the existing construction elements and the contractor shall remain responsible for any damage resulting therefrom.</t>
  </si>
  <si>
    <t>Concrete works</t>
  </si>
  <si>
    <t xml:space="preserve"> Sand and gravel resulting from the cracking of clean hard limestone free of dust, dirt and soft stones are used so that the amount of fine dust does not exceed 10% of the amount of sand</t>
  </si>
  <si>
    <t xml:space="preserve">The water used is potable water  </t>
  </si>
  <si>
    <t xml:space="preserve"> The texture and operability of the concrete are checked before each pouring by measuring the amount of concrete landing using the Abrams cone provided by the contractor at his own expense. </t>
  </si>
  <si>
    <t xml:space="preserve">Rebar of the highly resistant shaved type so that it is not less than 300 MPa in the diameters and lengths mentioned in the contract attachments, must be of the new type that is not renewed free of rust or other foreign substances with good fixation with tying wires and maintain during casting to provide sufficient thickness coverage </t>
  </si>
  <si>
    <t>The wooden mold must be of the clean type free of twists and defects with the need to use sufficient supports and the mold is not removed until after the period specified in the annexes to the contract</t>
  </si>
  <si>
    <t xml:space="preserve"> The steel rods (reinforcing bars) are attached to a steel strip in a way that prevents any movement in them during the pouring of concrete and lifts the skewers from the formwork by means of biscuits that achieve the required coverage distance  </t>
  </si>
  <si>
    <t xml:space="preserve">The length of the steel overlap (steel strip) must not be less than 60 times the diameter of the rod </t>
  </si>
  <si>
    <t xml:space="preserve">The steel is received after it is placed ready for pouring and therefore the pouring of concrete should not be initiated except with the written permission of the supervising team after examining and accepting the steel according to the details contained in the plans and instructions issued during the work and in the case of pouring a section without taking permission the contractor must remove it at his own expense </t>
  </si>
  <si>
    <t>Sprinkle all wooden formwork with water before starting the casting process</t>
  </si>
  <si>
    <t>The contractor shall secure wooden walkways and regulate the movement of work in a way that does not affect the shape and cleanliness of steel and formwork.</t>
  </si>
  <si>
    <t xml:space="preserve">Mechanical vibrator should be used during casting </t>
  </si>
  <si>
    <t>The contractor must equip all electrical and sanitary wiring according to the contract annexes and leave the necessary openings before starting the casting process.</t>
  </si>
  <si>
    <t xml:space="preserve"> The contractor corrects the surface for dips and heights and gives it the required inclination during casting with good polishing by spraying cement as directed by the supervising engineer</t>
  </si>
  <si>
    <t>Poured concrete must be watered at least three days at the rate of twice a day in the morning and evening</t>
  </si>
  <si>
    <t xml:space="preserve">Paint for all elements </t>
  </si>
  <si>
    <t xml:space="preserve">Painting works for steel sections (for structural steelwork): The sections are first well carved so as to ensure the removal of any trace of rust, bumps or sharp corners and then the work of painting the steelwork is carried out in the following way: The paint is established using a layer base layer and then proceeds with painting  the first layer. After drying the first layer, the second and last layer is started with a paint so that the surfaces become completely smooth without a trace of ripples, dirt and small granules or collected in the paint and the color is determined by the supervising engineer, cleaning the site from the traces of paint in case of presence </t>
  </si>
  <si>
    <t>Structural steelwork</t>
  </si>
  <si>
    <t xml:space="preserve">The steel sections are made according to the contract attachments according to the specified sizes of the designs and the pieces are connected to each other by welding according to the conditions imposed on the welding works so that they appear after manufacture as if they are one piece and the difference between the moving and stationary parts should not exceed one millimeter </t>
  </si>
  <si>
    <t xml:space="preserve">The outer surface of the welding must be smooth, without cracks and no residues or any porous holes, free of waste such as slag, the welding must be evenly distributed, sealant, does not contain dissolved/additional substances on the surface (inside/outside), free of scratches, without bends or grafts </t>
  </si>
  <si>
    <t xml:space="preserve">The steelwork after installation is identical to the building elements adjacent to it, true vertical and horizontal, durable and does not give any vibration </t>
  </si>
  <si>
    <t xml:space="preserve">All steel supplies such as hinges and locks are installed according to the requirements of the work </t>
  </si>
  <si>
    <t xml:space="preserve">Title: Technical Specifications </t>
  </si>
  <si>
    <t>Technical Specification</t>
  </si>
  <si>
    <r>
      <t xml:space="preserve"> The cement used in concrete works must be of ordinary Portland cement </t>
    </r>
    <r>
      <rPr>
        <sz val="10"/>
        <color rgb="FFFF0000"/>
        <rFont val="Calibri"/>
        <family val="2"/>
        <scheme val="minor"/>
      </rPr>
      <t>type 42.5 grade</t>
    </r>
    <r>
      <rPr>
        <sz val="10"/>
        <color rgb="FF000000"/>
        <rFont val="Calibri"/>
        <family val="2"/>
        <scheme val="minor"/>
      </rPr>
      <t xml:space="preserve"> and its shelf life is not more than 3 months from the date of its production Cement bags must be sealed and in a healthy condition and each bag is rejected wet or malfunctioning due to moisture </t>
    </r>
  </si>
  <si>
    <t xml:space="preserve">The work includes the work of the wooden mold (formwork) and securing the materials required to mix, pour and hammer the concrete well and refine it and everything necessary and not to dismantle the mold before the end of the specified period </t>
  </si>
  <si>
    <t>The dimensions, diameters and lengths of the steel used shall not be less than the measurements required in the plans and instructions, and if the contractor is unable to secure the steel lengths with the required descriptions, he may not replace them with any steel lengths except after obtaining written approval from the supervising enginee.</t>
  </si>
  <si>
    <t>The maximum culvert barrel will be a 1.2m x 1.2m reinforced concrete box culvert</t>
  </si>
  <si>
    <t>The aprons will be concrete and extend on the upstream and downstream side</t>
  </si>
  <si>
    <t>The headwalls and wingwalls of the culvert will be reinforced concrete and their function is to retain the soil behind the culverts, to provide erosion protection to the sides of the culvert and to direct water towards the culvert inlet.</t>
  </si>
  <si>
    <t>Flap gates are to be installed on the culvert headwalls, these must be designed to withstand the loads imposed by the flap gates both when closed and when open (from 0°-90°)</t>
  </si>
  <si>
    <t>Flap gates manufacturing should consider the ability to weld the flap door and frame without distortion, and the ability to machine (turning, boring, milling)</t>
  </si>
  <si>
    <t>No (or low) maintenance requirement. Maintenance should be carried out without need to remove the flap gate door from its hinges</t>
  </si>
  <si>
    <t>Safety requirements of the gates should be considered so that risk to population does not increase</t>
  </si>
  <si>
    <t>Be able to withstand the High river levels expected during flood conditions on the downstream side of the culver</t>
  </si>
  <si>
    <t xml:space="preserve">Culverts </t>
  </si>
  <si>
    <t xml:space="preserve">Flap gates </t>
  </si>
  <si>
    <t>Flap gates shall be of a standard and quality that ensures they will achieve a design life of 30 years in the prevailing operating environment, whilst achieving satisfactory operation without leakage in the closed position</t>
  </si>
  <si>
    <t>The prevailing environment will be a freshwater river with a large sediment content</t>
  </si>
  <si>
    <t>Materials used for the manufacturing and installation procedures must be of sound quality in accordance with good engineering practice, first class commercial quality, best workshop practice and local health and safety requirements</t>
  </si>
  <si>
    <t>All flap gates shall be readily accessible for operation, inspection and maintenance, without stretching or straining, and without resort to temporary scaffold, ladders, etc. Where necessary, operating platforms shall be provided that may be permanent or moveable. Wherever practicable it shall be possible to maintain the flap gates in situ</t>
  </si>
  <si>
    <t>Flap gates shall be installed with hinges at the top, as far as is practicable</t>
  </si>
  <si>
    <t>Flap gates and fittings shall be corrosion resistant and fabricated or sourced from materials available locally</t>
  </si>
  <si>
    <t>All flap gates shall be equipped with outside screws unless otherwise specified or approved</t>
  </si>
  <si>
    <t>To reduce the number of valves held as spare parts and requiring maintenance, the Contractor shall as far as possible, provide identical flap gates for all locations.</t>
  </si>
  <si>
    <t>After manufacture, all unfinished ferrous metal surfaces shall receive an anticorrosive protection (heavy coat of varnish or other equivalent material readily removed by commercial solvents).</t>
  </si>
  <si>
    <t>Stainless steel parts, non-ferrous metal or galvanized parts shall not receive any protective treatment. The same applies to metal surfaces to be embedded in concrete.</t>
  </si>
  <si>
    <t>Where dissimilar metals are in contact, these must be insulated from one another to prevent electrochemical corrosion.</t>
  </si>
  <si>
    <t>All protective coating systems must have a high durability such that no maintenance in the first five years is required.</t>
  </si>
  <si>
    <t>All surfaces permanently submerged or temporarily submerged shall include: (1) Near-white blast cleaning (2) One coat of zinc-rich epoxy paint, minimum dry film thickness of 75 micrometres (3) Two finish coats of high build epoxy paint, each coat with minimum fry film thickness of 150 micrometres.</t>
  </si>
  <si>
    <t>The Bill of Quantities shall be read in conjunction with the drawings and the technical specifications, if any. All the works are to be executed as per the drawing and the supervising engineer's instruction and commitment to the following:-
1- All materials and tools must comply with international standards (ISO or ASTM) and be approved by the procurement committee before be priced.
2-The contractor should include in the offer the catalogues, photos and specifications of materials he will supply.
3-The contractor shall perform the surveying works using the appropriate surveying equipment before starting the installation works to determine the path line of excavation and installation depth.
4- Salt resistant cement is used in all construction works.
5- Commitment to using clean water for curing all concrete, buildings, and plastering works per IOM engineer's instruction.
6- The contractor should commit to partial hand over the completed phases of the works and obtain approval from the IOM's engineers before proceeding to the next phase as per the approved work plan after satisfactory inspection of the quantity and quality of works/goods delivered.
7- Commitment to levelling and cleaning the work site before and after the completion of the works, from the remnants of the waste to sites authorised by IOM engineers or local authorities.
8- The contractor is obliged to use safety and security measures while carrying out all work.
9- The contractor should submit a detailed work plan along with each purchase order after signing the contract.</t>
  </si>
  <si>
    <r>
      <t xml:space="preserve">Supply and install one </t>
    </r>
    <r>
      <rPr>
        <b/>
        <sz val="10"/>
        <color theme="1"/>
        <rFont val="Calibri"/>
        <family val="2"/>
        <scheme val="minor"/>
      </rPr>
      <t>Seal</t>
    </r>
    <r>
      <rPr>
        <sz val="10"/>
        <color theme="1"/>
        <rFont val="Calibri"/>
        <family val="2"/>
        <scheme val="minor"/>
      </rPr>
      <t xml:space="preserve"> fabricated from Neoprene sheets (Density = 1230 Kg/m3) with dimensions of 20 mm thick and 50 mm wide </t>
    </r>
  </si>
  <si>
    <t>1.2.5</t>
  </si>
  <si>
    <t>1.2.6</t>
  </si>
  <si>
    <t>2.1.1</t>
  </si>
  <si>
    <t>2.1.2</t>
  </si>
  <si>
    <t>2.1.3</t>
  </si>
  <si>
    <t xml:space="preserve">Sub-base site Leveling course using agreed material boulder stones, sharp sand and laterite and compaction works before the construction as per the drawings and upon the site engineer satisfaction. </t>
  </si>
  <si>
    <t>2.2.1</t>
  </si>
  <si>
    <r>
      <t xml:space="preserve">Providing and laying Cement Concrete with 350kg/m3 for </t>
    </r>
    <r>
      <rPr>
        <b/>
        <sz val="10"/>
        <color theme="1"/>
        <rFont val="Calibri"/>
        <family val="2"/>
        <scheme val="minor"/>
      </rPr>
      <t>beds</t>
    </r>
    <r>
      <rPr>
        <sz val="10"/>
        <color theme="1"/>
        <rFont val="Calibri"/>
        <family val="2"/>
        <scheme val="minor"/>
      </rPr>
      <t xml:space="preserve"> to construct the large culvert on, with area of 180.48 m2,  includes framework and all needed materials to complete the works. As per drawing no. </t>
    </r>
    <r>
      <rPr>
        <b/>
        <u/>
        <sz val="10"/>
        <color theme="1"/>
        <rFont val="Calibri"/>
        <family val="2"/>
        <scheme val="minor"/>
      </rPr>
      <t>BORFMP-DWGS-001</t>
    </r>
    <r>
      <rPr>
        <sz val="10"/>
        <color theme="1"/>
        <rFont val="Calibri"/>
        <family val="2"/>
        <scheme val="minor"/>
      </rPr>
      <t xml:space="preserve"> and Technical Specifications </t>
    </r>
  </si>
  <si>
    <t>2.2.2</t>
  </si>
  <si>
    <r>
      <t xml:space="preserve">Providing and Casting Concrete with 350kg/m3 for </t>
    </r>
    <r>
      <rPr>
        <b/>
        <sz val="10"/>
        <color theme="1"/>
        <rFont val="Calibri"/>
        <family val="2"/>
        <scheme val="minor"/>
      </rPr>
      <t>both (apron for all &amp; Per Box)</t>
    </r>
    <r>
      <rPr>
        <sz val="10"/>
        <color theme="1"/>
        <rFont val="Calibri"/>
        <family val="2"/>
        <scheme val="minor"/>
      </rPr>
      <t xml:space="preserve">, with area of 43.34m2,  includes framework and all needed materials to complete the works. As per drawing no. </t>
    </r>
    <r>
      <rPr>
        <b/>
        <u/>
        <sz val="10"/>
        <color theme="1"/>
        <rFont val="Calibri"/>
        <family val="2"/>
        <scheme val="minor"/>
      </rPr>
      <t>BORFMP-DWGS-001</t>
    </r>
    <r>
      <rPr>
        <sz val="10"/>
        <color theme="1"/>
        <rFont val="Calibri"/>
        <family val="2"/>
        <scheme val="minor"/>
      </rPr>
      <t xml:space="preserve"> and Technical Specifications</t>
    </r>
  </si>
  <si>
    <t>2.2.3</t>
  </si>
  <si>
    <r>
      <t xml:space="preserve">Providing and Installing Pre-casted Reinforced Cement Concrete with 350kg/m3 and 12mm diameter bars at 150mm c/c both ways on 2 faces for </t>
    </r>
    <r>
      <rPr>
        <b/>
        <sz val="10"/>
        <color theme="1"/>
        <rFont val="Calibri"/>
        <family val="2"/>
        <scheme val="minor"/>
      </rPr>
      <t xml:space="preserve">culverts </t>
    </r>
    <r>
      <rPr>
        <b/>
        <u/>
        <sz val="10"/>
        <color theme="1"/>
        <rFont val="Calibri"/>
        <family val="2"/>
        <scheme val="minor"/>
      </rPr>
      <t>boxes/barrels</t>
    </r>
    <r>
      <rPr>
        <b/>
        <sz val="10"/>
        <color theme="1"/>
        <rFont val="Calibri"/>
        <family val="2"/>
        <scheme val="minor"/>
      </rPr>
      <t xml:space="preserve"> and joints in between</t>
    </r>
    <r>
      <rPr>
        <sz val="10"/>
        <color theme="1"/>
        <rFont val="Calibri"/>
        <family val="2"/>
        <scheme val="minor"/>
      </rPr>
      <t xml:space="preserve"> with centering &amp; shuttering, includes all needed materials and accessories to complete the works. As per drawing no.  </t>
    </r>
    <r>
      <rPr>
        <b/>
        <sz val="10"/>
        <color theme="1"/>
        <rFont val="Calibri"/>
        <family val="2"/>
        <scheme val="minor"/>
      </rPr>
      <t>BORFMP-DWGS-001</t>
    </r>
    <r>
      <rPr>
        <sz val="10"/>
        <color theme="1"/>
        <rFont val="Calibri"/>
        <family val="2"/>
        <scheme val="minor"/>
      </rPr>
      <t xml:space="preserve"> &amp; Technical Specifications</t>
    </r>
  </si>
  <si>
    <t>2.2.4</t>
  </si>
  <si>
    <r>
      <t xml:space="preserve">Providing and laying Reinforced Cement Concrete with  with 350kg/m3 and 12mm diameter bars at 150mm c/c both ways on 2 faces in sub-structure &amp; super-structure for  </t>
    </r>
    <r>
      <rPr>
        <b/>
        <sz val="10"/>
        <color theme="1"/>
        <rFont val="Calibri"/>
        <family val="2"/>
        <scheme val="minor"/>
      </rPr>
      <t>wingwalls and headwalls</t>
    </r>
    <r>
      <rPr>
        <sz val="10"/>
        <color theme="1"/>
        <rFont val="Calibri"/>
        <family val="2"/>
        <scheme val="minor"/>
      </rPr>
      <t xml:space="preserve">, with centering &amp; shuttering, includes all needed materials and accessories to complete the works. As per drawing no. </t>
    </r>
    <r>
      <rPr>
        <b/>
        <sz val="10"/>
        <color theme="1"/>
        <rFont val="Calibri"/>
        <family val="2"/>
        <scheme val="minor"/>
      </rPr>
      <t xml:space="preserve"> BORFMP-DWGS-001</t>
    </r>
    <r>
      <rPr>
        <sz val="10"/>
        <color theme="1"/>
        <rFont val="Calibri"/>
        <family val="2"/>
        <scheme val="minor"/>
      </rPr>
      <t xml:space="preserve"> and Technical Specifications</t>
    </r>
  </si>
  <si>
    <t>2.3.1</t>
  </si>
  <si>
    <t>2.3.2</t>
  </si>
  <si>
    <t>2.3.3</t>
  </si>
  <si>
    <t>2.3.4</t>
  </si>
  <si>
    <t>2.3.5</t>
  </si>
  <si>
    <t>2.3.6</t>
  </si>
  <si>
    <t>3.1.1</t>
  </si>
  <si>
    <t>3.1.2</t>
  </si>
  <si>
    <t>3.1.3</t>
  </si>
  <si>
    <t>3.2.1</t>
  </si>
  <si>
    <r>
      <t xml:space="preserve">Providing and laying Cement Concrete with 350kg/m3 for </t>
    </r>
    <r>
      <rPr>
        <b/>
        <sz val="10"/>
        <color theme="1"/>
        <rFont val="Calibri"/>
        <family val="2"/>
        <scheme val="minor"/>
      </rPr>
      <t>beds</t>
    </r>
    <r>
      <rPr>
        <sz val="10"/>
        <color theme="1"/>
        <rFont val="Calibri"/>
        <family val="2"/>
        <scheme val="minor"/>
      </rPr>
      <t xml:space="preserve"> to construct the large culvert on, with area of 122.8m2,  includes framework and all needed materials to complete the works. As per drawing no. </t>
    </r>
    <r>
      <rPr>
        <b/>
        <sz val="10"/>
        <color theme="1"/>
        <rFont val="Calibri"/>
        <family val="2"/>
        <scheme val="minor"/>
      </rPr>
      <t>BORFMP-DWGS-001</t>
    </r>
    <r>
      <rPr>
        <sz val="10"/>
        <color theme="1"/>
        <rFont val="Calibri"/>
        <family val="2"/>
        <scheme val="minor"/>
      </rPr>
      <t xml:space="preserve"> and Technical Specifications </t>
    </r>
  </si>
  <si>
    <t>3.2.2</t>
  </si>
  <si>
    <r>
      <t xml:space="preserve">Providing and Casting Concrete with 350kg/m3 for </t>
    </r>
    <r>
      <rPr>
        <b/>
        <sz val="10"/>
        <color theme="1"/>
        <rFont val="Calibri"/>
        <family val="2"/>
        <scheme val="minor"/>
      </rPr>
      <t>both (apron  for all &amp; Per Box)</t>
    </r>
    <r>
      <rPr>
        <sz val="10"/>
        <color theme="1"/>
        <rFont val="Calibri"/>
        <family val="2"/>
        <scheme val="minor"/>
      </rPr>
      <t xml:space="preserve">, with area of 31.34m2,  includes framework and all needed materials to complete the works. As per drawing no. </t>
    </r>
    <r>
      <rPr>
        <b/>
        <sz val="10"/>
        <color theme="1"/>
        <rFont val="Calibri"/>
        <family val="2"/>
        <scheme val="minor"/>
      </rPr>
      <t>BORFMP-DWGS-001</t>
    </r>
    <r>
      <rPr>
        <sz val="10"/>
        <color theme="1"/>
        <rFont val="Calibri"/>
        <family val="2"/>
        <scheme val="minor"/>
      </rPr>
      <t xml:space="preserve"> and Technical Specifications</t>
    </r>
  </si>
  <si>
    <t>3.2.3</t>
  </si>
  <si>
    <t>3.2.4</t>
  </si>
  <si>
    <t>3.3.1</t>
  </si>
  <si>
    <t>3.3.2</t>
  </si>
  <si>
    <t>3.3.3</t>
  </si>
  <si>
    <t>3.3.4</t>
  </si>
  <si>
    <t>3.3.5</t>
  </si>
  <si>
    <t>3.3.6</t>
  </si>
  <si>
    <t>4.1.1</t>
  </si>
  <si>
    <t>4.1.2</t>
  </si>
  <si>
    <t>4.1.3</t>
  </si>
  <si>
    <t>4.2.1</t>
  </si>
  <si>
    <t>4.2.2</t>
  </si>
  <si>
    <t>4.2.3</t>
  </si>
  <si>
    <t>4.2.4</t>
  </si>
  <si>
    <t>4.3.1</t>
  </si>
  <si>
    <t>4.3.2</t>
  </si>
  <si>
    <t>4.3.3</t>
  </si>
  <si>
    <t>4.3.4</t>
  </si>
  <si>
    <t>4.3.5</t>
  </si>
  <si>
    <t>4.3.6</t>
  </si>
  <si>
    <t>LS</t>
  </si>
  <si>
    <t>6.1.1</t>
  </si>
  <si>
    <t>6.1.2</t>
  </si>
  <si>
    <t>6.1.3</t>
  </si>
  <si>
    <t>6.1.4</t>
  </si>
  <si>
    <t>6.2.1</t>
  </si>
  <si>
    <r>
      <t xml:space="preserve">Providing and laying Cement Concrete with 350kg/m3 for </t>
    </r>
    <r>
      <rPr>
        <b/>
        <sz val="10"/>
        <color theme="1"/>
        <rFont val="Calibri"/>
        <family val="2"/>
        <scheme val="minor"/>
      </rPr>
      <t>beds</t>
    </r>
    <r>
      <rPr>
        <sz val="10"/>
        <color theme="1"/>
        <rFont val="Calibri"/>
        <family val="2"/>
        <scheme val="minor"/>
      </rPr>
      <t xml:space="preserve"> to construct the large culvert on, with area of 40.32m2,  includes framework and all needed materials to complete the works. As per</t>
    </r>
    <r>
      <rPr>
        <u/>
        <sz val="10"/>
        <color theme="1"/>
        <rFont val="Calibri"/>
        <family val="2"/>
        <scheme val="minor"/>
      </rPr>
      <t xml:space="preserve"> </t>
    </r>
    <r>
      <rPr>
        <sz val="10"/>
        <color theme="1"/>
        <rFont val="Calibri"/>
        <family val="2"/>
        <scheme val="minor"/>
      </rPr>
      <t>drawing no.</t>
    </r>
    <r>
      <rPr>
        <u/>
        <sz val="10"/>
        <color theme="1"/>
        <rFont val="Calibri"/>
        <family val="2"/>
        <scheme val="minor"/>
      </rPr>
      <t xml:space="preserve"> </t>
    </r>
    <r>
      <rPr>
        <b/>
        <sz val="10"/>
        <color theme="1"/>
        <rFont val="Calibri"/>
        <family val="2"/>
        <scheme val="minor"/>
      </rPr>
      <t>BORFMP-DWGS-001</t>
    </r>
    <r>
      <rPr>
        <sz val="10"/>
        <color theme="1"/>
        <rFont val="Calibri"/>
        <family val="2"/>
        <scheme val="minor"/>
      </rPr>
      <t xml:space="preserve"> and Technical Specifications </t>
    </r>
  </si>
  <si>
    <t>6.2.2</t>
  </si>
  <si>
    <t>6.2.3</t>
  </si>
  <si>
    <r>
      <t xml:space="preserve">Providing and Installing Pre-casted Reinforced Cement Concrete with 350kg/m3 and 12mm diameter bars at 150mm c/c both ways on 2 faces for </t>
    </r>
    <r>
      <rPr>
        <b/>
        <sz val="10"/>
        <color theme="1"/>
        <rFont val="Calibri"/>
        <family val="2"/>
        <scheme val="minor"/>
      </rPr>
      <t>culverts boxes/barrels and joints in between</t>
    </r>
    <r>
      <rPr>
        <sz val="10"/>
        <color theme="1"/>
        <rFont val="Calibri"/>
        <family val="2"/>
        <scheme val="minor"/>
      </rPr>
      <t xml:space="preserve"> with centering &amp; shuttering, includes all needed materials and accessories to complete the works. As per drawing no.  </t>
    </r>
    <r>
      <rPr>
        <b/>
        <sz val="10"/>
        <color theme="1"/>
        <rFont val="Calibri"/>
        <family val="2"/>
        <scheme val="minor"/>
      </rPr>
      <t>BORFMP-DWGS-001</t>
    </r>
    <r>
      <rPr>
        <sz val="10"/>
        <color theme="1"/>
        <rFont val="Calibri"/>
        <family val="2"/>
        <scheme val="minor"/>
      </rPr>
      <t xml:space="preserve"> &amp; Technical Specifications</t>
    </r>
  </si>
  <si>
    <t>6.2.4</t>
  </si>
  <si>
    <t>6.3.1</t>
  </si>
  <si>
    <t>6.3.2</t>
  </si>
  <si>
    <t>6.3.3</t>
  </si>
  <si>
    <t>6.3.4</t>
  </si>
  <si>
    <t>6.3.5</t>
  </si>
  <si>
    <t>6.3.6</t>
  </si>
  <si>
    <r>
      <t xml:space="preserve">Providing and Casting Concrete with 350kg/m3 for </t>
    </r>
    <r>
      <rPr>
        <b/>
        <sz val="10"/>
        <color theme="1"/>
        <rFont val="Calibri"/>
        <family val="2"/>
        <scheme val="minor"/>
      </rPr>
      <t>both (apron  for all &amp; Per Box)</t>
    </r>
    <r>
      <rPr>
        <sz val="10"/>
        <color theme="1"/>
        <rFont val="Calibri"/>
        <family val="2"/>
        <scheme val="minor"/>
      </rPr>
      <t xml:space="preserve">, with area of 19.34m2,  includes framework and all needed materials to complete the works. As per drawing no. </t>
    </r>
    <r>
      <rPr>
        <b/>
        <sz val="10"/>
        <color theme="1"/>
        <rFont val="Calibri"/>
        <family val="2"/>
        <scheme val="minor"/>
      </rPr>
      <t>BORFMP-DWGS-001</t>
    </r>
    <r>
      <rPr>
        <sz val="10"/>
        <color theme="1"/>
        <rFont val="Calibri"/>
        <family val="2"/>
        <scheme val="minor"/>
      </rPr>
      <t xml:space="preserve"> and Techncial Specifications</t>
    </r>
  </si>
  <si>
    <t>Removal of existing temporary culverts for foundation works of structures to proceed. These culverts are to be removed carefully in order to avoid damage as they are to be reinstalled in proper alignement with the new precast culverts.</t>
  </si>
  <si>
    <r>
      <t xml:space="preserve">Reinstallation of the removed precast culvert boxes/barrels in alignment with the new precast culverts. Providing and Installing additional Pre-casted Reinforced Cement Concrete with 350kg/m3 and 12mm diameter bars at 150mm c/c both ways on 2 faces for </t>
    </r>
    <r>
      <rPr>
        <b/>
        <sz val="10"/>
        <color theme="1"/>
        <rFont val="Calibri"/>
        <family val="2"/>
        <scheme val="minor"/>
      </rPr>
      <t xml:space="preserve">culverts </t>
    </r>
    <r>
      <rPr>
        <b/>
        <u/>
        <sz val="10"/>
        <color theme="1"/>
        <rFont val="Calibri"/>
        <family val="2"/>
        <scheme val="minor"/>
      </rPr>
      <t>boxes/barrels</t>
    </r>
    <r>
      <rPr>
        <b/>
        <sz val="10"/>
        <color theme="1"/>
        <rFont val="Calibri"/>
        <family val="2"/>
        <scheme val="minor"/>
      </rPr>
      <t xml:space="preserve"> and joints in between with similar design and size to the removed culvert boxes </t>
    </r>
    <r>
      <rPr>
        <sz val="10"/>
        <color theme="1"/>
        <rFont val="Calibri"/>
        <family val="2"/>
        <scheme val="minor"/>
      </rPr>
      <t xml:space="preserve">with centering &amp; shuttering, includes all needed materials and accessories to complete the works. As per drawing no.  </t>
    </r>
    <r>
      <rPr>
        <b/>
        <sz val="10"/>
        <color theme="1"/>
        <rFont val="Calibri"/>
        <family val="2"/>
        <scheme val="minor"/>
      </rPr>
      <t>BORFMP-DWGS-001</t>
    </r>
    <r>
      <rPr>
        <sz val="10"/>
        <color theme="1"/>
        <rFont val="Calibri"/>
        <family val="2"/>
        <scheme val="minor"/>
      </rPr>
      <t xml:space="preserve"> &amp; Technical Specifications</t>
    </r>
  </si>
  <si>
    <t xml:space="preserve">Backfill and compaction using excavated material for foundation of structures including culverts, Aprones, Head and Wing Walls, and beds of the whole area of the site </t>
  </si>
  <si>
    <t>Drainage</t>
  </si>
  <si>
    <t>Supply and installation of wooden footpath passage using well treated and seasoned wood on completion of excavation work at all crossing points to aid movement of people over the drainage channel</t>
  </si>
  <si>
    <r>
      <t xml:space="preserve">Providing and laying Cement Concrete with 350kg/m3 for </t>
    </r>
    <r>
      <rPr>
        <b/>
        <sz val="10"/>
        <color theme="1"/>
        <rFont val="Calibri"/>
        <family val="2"/>
        <scheme val="minor"/>
      </rPr>
      <t>beds</t>
    </r>
    <r>
      <rPr>
        <sz val="10"/>
        <color theme="1"/>
        <rFont val="Calibri"/>
        <family val="2"/>
        <scheme val="minor"/>
      </rPr>
      <t xml:space="preserve"> to construct the large culvert on, with area of 65.28 m2,  includes framework and all needed materials to complete the works. As per</t>
    </r>
    <r>
      <rPr>
        <b/>
        <sz val="10"/>
        <color theme="1"/>
        <rFont val="Calibri"/>
        <family val="2"/>
        <scheme val="minor"/>
      </rPr>
      <t xml:space="preserve"> drawing no. BORFMP-DWGS-001</t>
    </r>
    <r>
      <rPr>
        <sz val="10"/>
        <color theme="1"/>
        <rFont val="Calibri"/>
        <family val="2"/>
        <scheme val="minor"/>
      </rPr>
      <t xml:space="preserve"> and Techncial Specifications </t>
    </r>
  </si>
  <si>
    <r>
      <t xml:space="preserve">Excavation of </t>
    </r>
    <r>
      <rPr>
        <b/>
        <sz val="10"/>
        <color theme="1"/>
        <rFont val="Calibri"/>
        <family val="2"/>
        <scheme val="minor"/>
      </rPr>
      <t>700 meter</t>
    </r>
    <r>
      <rPr>
        <sz val="10"/>
        <color theme="1"/>
        <rFont val="Calibri"/>
        <family val="2"/>
        <scheme val="minor"/>
      </rPr>
      <t xml:space="preserve"> long Drainage canals with the dimensions of 0.8  meter depth and 2 meters bottom width, Side slope of the swale 1:2 Slope including suitable grass on of top soil 150 mm</t>
    </r>
  </si>
  <si>
    <r>
      <t xml:space="preserve">Providing and laying Cement Concrete with 350kg/m3 for </t>
    </r>
    <r>
      <rPr>
        <b/>
        <sz val="10"/>
        <color theme="1"/>
        <rFont val="Calibri"/>
        <family val="2"/>
        <scheme val="minor"/>
      </rPr>
      <t>beds</t>
    </r>
    <r>
      <rPr>
        <sz val="10"/>
        <color theme="1"/>
        <rFont val="Calibri"/>
        <family val="2"/>
        <scheme val="minor"/>
      </rPr>
      <t xml:space="preserve"> to construct the large culvert on, with area of 94.08m2,  includes framework and all needed materials to complete the works. As per</t>
    </r>
    <r>
      <rPr>
        <b/>
        <sz val="10"/>
        <color theme="1"/>
        <rFont val="Calibri"/>
        <family val="2"/>
        <scheme val="minor"/>
      </rPr>
      <t xml:space="preserve"> drawing no. BORFMP-DWGS-001</t>
    </r>
    <r>
      <rPr>
        <sz val="10"/>
        <color theme="1"/>
        <rFont val="Calibri"/>
        <family val="2"/>
        <scheme val="minor"/>
      </rPr>
      <t xml:space="preserve"> and Technical Specifications </t>
    </r>
  </si>
  <si>
    <r>
      <t xml:space="preserve">Providing and Casting Concrete with 350kg/m3 for </t>
    </r>
    <r>
      <rPr>
        <b/>
        <sz val="10"/>
        <color theme="1"/>
        <rFont val="Calibri"/>
        <family val="2"/>
        <scheme val="minor"/>
      </rPr>
      <t>both (apron  for all &amp; Per Box)</t>
    </r>
    <r>
      <rPr>
        <sz val="10"/>
        <color theme="1"/>
        <rFont val="Calibri"/>
        <family val="2"/>
        <scheme val="minor"/>
      </rPr>
      <t xml:space="preserve">, with area of 25.34m2,  includes framework and all needed materials to complete the works. As per drawing no. </t>
    </r>
    <r>
      <rPr>
        <b/>
        <sz val="10"/>
        <color theme="1"/>
        <rFont val="Calibri"/>
        <family val="2"/>
        <scheme val="minor"/>
      </rPr>
      <t>BORFMP-DWGS-001</t>
    </r>
    <r>
      <rPr>
        <sz val="10"/>
        <color theme="1"/>
        <rFont val="Calibri"/>
        <family val="2"/>
        <scheme val="minor"/>
      </rPr>
      <t xml:space="preserve"> and Technical Specifications</t>
    </r>
  </si>
  <si>
    <r>
      <t xml:space="preserve">Earthwork in excavation for foundation of structures including ulverts, Aprones, Head and Wing Walls, and beds of the whole area of site construction in all types of earth. With keeping larger excavation areas than the construction area for all sides to facilitate the construction process. with adhering to the appropriate depths for each site separately, based on the site’s survey studies and drawing Number </t>
    </r>
    <r>
      <rPr>
        <b/>
        <sz val="10"/>
        <color theme="1"/>
        <rFont val="Calibri"/>
        <family val="2"/>
        <scheme val="minor"/>
      </rPr>
      <t>BORFMP-DWGS-001</t>
    </r>
    <r>
      <rPr>
        <sz val="10"/>
        <color theme="1"/>
        <rFont val="Calibri"/>
        <family val="2"/>
        <scheme val="minor"/>
      </rPr>
      <t>.</t>
    </r>
  </si>
  <si>
    <r>
      <t xml:space="preserve">Earthwork in excavation for foundation of structures including culverts, Aprones, Head and Wing Walls, and beds of the whole area of site construction in all types of earth. With keeping larger excavation areas than the construction area for all sides to facilitate the construction process. with adhering to the appropriate depths for each site separately, based on the site’s survey studies and drawing Number </t>
    </r>
    <r>
      <rPr>
        <b/>
        <sz val="10"/>
        <color theme="1"/>
        <rFont val="Calibri"/>
        <family val="2"/>
        <scheme val="minor"/>
      </rPr>
      <t>BORFMP-DWGS-001</t>
    </r>
    <r>
      <rPr>
        <sz val="10"/>
        <color theme="1"/>
        <rFont val="Calibri"/>
        <family val="2"/>
        <scheme val="minor"/>
      </rPr>
      <t>.</t>
    </r>
  </si>
  <si>
    <t xml:space="preserve">Date: 19 August 2023 </t>
  </si>
  <si>
    <t>5.1.1</t>
  </si>
  <si>
    <t>5.1.2</t>
  </si>
  <si>
    <t>5.1.3</t>
  </si>
  <si>
    <t>5.2.1</t>
  </si>
  <si>
    <t>5.2.2</t>
  </si>
  <si>
    <t>5.2.3</t>
  </si>
  <si>
    <t>5.2.4</t>
  </si>
  <si>
    <t>5.3.1</t>
  </si>
  <si>
    <t>5.3.2</t>
  </si>
  <si>
    <t>6.2.5</t>
  </si>
  <si>
    <t>6.2.6</t>
  </si>
  <si>
    <t>Objective 2 : Large Culvert</t>
  </si>
  <si>
    <t>Objective 3  :  Drainage Network</t>
  </si>
  <si>
    <t xml:space="preserve">6.193000°, 31.564297° </t>
  </si>
  <si>
    <t xml:space="preserve">6.189031°, 31.564769° </t>
  </si>
  <si>
    <t>Bill of Quantities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</si>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</sst>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409]* #,##0.00_ ;_-[$$-409]* \-#,##0.00\ ;_-[$$-409]* &quot;-&quot;??_ ;_-@_ "/>
    <numFmt numFmtId="165" formatCode="0.0000"/>
  </numFmts>
  <fonts count="30" x14ac:knownFonts="1">
    <font>
      <sz val="11"/>
      <color theme="1"/>
      <name val="Calibri"/>
      <family val="2"/>
      <scheme val="minor"/>
    </font>
    <font>
      <sz val="11"/>
      <color theme="0"/>
      <name val="Calibri"/>
      <family val="2"/>
      <scheme val="minor"/>
    </font>
    <font>
      <sz val="10"/>
      <color rgb="FF000000"/>
      <name val="Times New Roman"/>
      <family val="1"/>
    </font>
    <font>
      <b/>
      <u/>
      <sz val="11"/>
      <color theme="1"/>
      <name val="Calibri"/>
      <family val="2"/>
      <scheme val="minor"/>
    </font>
    <font>
      <b/>
      <sz val="11"/>
      <color theme="0"/>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4"/>
      <color theme="1"/>
      <name val="Calibri"/>
      <family val="2"/>
      <scheme val="minor"/>
    </font>
    <font>
      <b/>
      <sz val="10"/>
      <color theme="1"/>
      <name val="Calibri"/>
      <family val="2"/>
      <scheme val="minor"/>
    </font>
    <font>
      <b/>
      <sz val="10"/>
      <color rgb="FF000000"/>
      <name val="Calibri"/>
      <family val="2"/>
    </font>
    <font>
      <b/>
      <sz val="10"/>
      <color rgb="FFFFFFFF"/>
      <name val="Calibri"/>
      <family val="2"/>
    </font>
    <font>
      <sz val="10.5"/>
      <color rgb="FF000000"/>
      <name val="Calibri"/>
      <family val="2"/>
    </font>
    <font>
      <sz val="10"/>
      <color rgb="FFFF0000"/>
      <name val="Calibri"/>
      <family val="2"/>
      <scheme val="minor"/>
    </font>
    <font>
      <sz val="11"/>
      <color rgb="FF3F3F76"/>
      <name val="Calibri"/>
      <family val="2"/>
      <scheme val="minor"/>
    </font>
    <font>
      <b/>
      <sz val="11"/>
      <color rgb="FFFA7D00"/>
      <name val="Calibri"/>
      <family val="2"/>
      <scheme val="minor"/>
    </font>
    <font>
      <u/>
      <sz val="10"/>
      <color theme="1"/>
      <name val="Calibri"/>
      <family val="2"/>
      <scheme val="minor"/>
    </font>
    <font>
      <sz val="8"/>
      <name val="Calibri"/>
      <family val="2"/>
      <scheme val="minor"/>
    </font>
    <font>
      <b/>
      <u/>
      <sz val="10"/>
      <color theme="1"/>
      <name val="Calibri"/>
      <family val="2"/>
      <scheme val="minor"/>
    </font>
    <font>
      <sz val="10"/>
      <color rgb="FF202124"/>
      <name val="Calibri"/>
      <family val="2"/>
      <scheme val="minor"/>
    </font>
    <font>
      <sz val="10"/>
      <color rgb="FF000000"/>
      <name val="Calibri"/>
      <family val="2"/>
      <scheme val="minor"/>
    </font>
    <font>
      <sz val="12"/>
      <color theme="1"/>
      <name val="Calibri"/>
      <family val="2"/>
      <scheme val="minor"/>
    </font>
    <font>
      <vertAlign val="superscript"/>
      <sz val="11"/>
      <color theme="1"/>
      <name val="Calibri"/>
      <family val="2"/>
      <scheme val="minor"/>
    </font>
    <font>
      <b/>
      <sz val="11"/>
      <color rgb="FF0070C0"/>
      <name val="Calibri"/>
      <family val="2"/>
      <scheme val="minor"/>
    </font>
    <font>
      <b/>
      <sz val="11"/>
      <color rgb="FF70AD47"/>
      <name val="Calibri"/>
      <family val="2"/>
      <scheme val="minor"/>
    </font>
    <font>
      <b/>
      <sz val="12"/>
      <color theme="1"/>
      <name val="Calibri"/>
      <family val="2"/>
      <scheme val="minor"/>
    </font>
    <font>
      <i/>
      <sz val="11"/>
      <color theme="1"/>
      <name val="Calibri"/>
      <family val="2"/>
      <scheme val="minor"/>
    </font>
    <font>
      <sz val="11"/>
      <color rgb="FF0070C0"/>
      <name val="Calibri"/>
      <family val="2"/>
      <scheme val="minor"/>
    </font>
    <font>
      <b/>
      <sz val="10"/>
      <color rgb="FFFFFFFF"/>
      <name val="Calibri"/>
      <family val="2"/>
      <scheme val="minor"/>
    </font>
    <font>
      <b/>
      <sz val="10"/>
      <color rgb="FF000000"/>
      <name val="Calibri"/>
      <family val="2"/>
      <scheme val="minor"/>
    </font>
  </fonts>
  <fills count="10">
    <fill>
      <patternFill patternType="none"/>
    </fill>
    <fill>
      <patternFill patternType="gray125"/>
    </fill>
    <fill>
      <patternFill patternType="solid">
        <fgColor theme="4"/>
        <bgColor indexed="64"/>
      </patternFill>
    </fill>
    <fill>
      <patternFill patternType="solid">
        <fgColor theme="0" tint="-0.14999847407452621"/>
        <bgColor indexed="64"/>
      </patternFill>
    </fill>
    <fill>
      <patternFill patternType="solid">
        <fgColor rgb="FFBFBFBF"/>
        <bgColor rgb="FF000000"/>
      </patternFill>
    </fill>
    <fill>
      <patternFill patternType="solid">
        <fgColor theme="4"/>
        <bgColor rgb="FF000000"/>
      </patternFill>
    </fill>
    <fill>
      <patternFill patternType="solid">
        <fgColor rgb="FFFFCC99"/>
      </patternFill>
    </fill>
    <fill>
      <patternFill patternType="solid">
        <fgColor rgb="FFF2F2F2"/>
      </patternFill>
    </fill>
    <fill>
      <patternFill patternType="solid">
        <fgColor theme="2"/>
        <bgColor indexed="64"/>
      </patternFill>
    </fill>
    <fill>
      <patternFill patternType="solid">
        <fgColor rgb="FFBFBFBF"/>
        <bgColor indexed="64"/>
      </patternFill>
    </fill>
  </fills>
  <borders count="66">
    <border>
      <left/>
      <right/>
      <top/>
      <bottom/>
      <diagonal/>
    </border>
    <border>
      <left/>
      <right/>
      <top style="thin">
        <color theme="4" tint="-0.249977111117893"/>
      </top>
      <bottom style="thin">
        <color theme="4" tint="-0.249977111117893"/>
      </bottom>
      <diagonal/>
    </border>
    <border>
      <left/>
      <right/>
      <top/>
      <bottom style="thin">
        <color theme="4" tint="-0.249977111117893"/>
      </bottom>
      <diagonal/>
    </border>
    <border>
      <left style="thin">
        <color rgb="FF7F7F7F"/>
      </left>
      <right style="thin">
        <color rgb="FF7F7F7F"/>
      </right>
      <top style="thin">
        <color rgb="FF7F7F7F"/>
      </top>
      <bottom style="thin">
        <color rgb="FF7F7F7F"/>
      </bottom>
      <diagonal/>
    </border>
    <border>
      <left/>
      <right/>
      <top style="thin">
        <color theme="4"/>
      </top>
      <bottom/>
      <diagonal/>
    </border>
    <border>
      <left/>
      <right style="thin">
        <color theme="4"/>
      </right>
      <top style="thin">
        <color theme="4"/>
      </top>
      <bottom/>
      <diagonal/>
    </border>
    <border>
      <left style="thin">
        <color theme="4"/>
      </left>
      <right style="thin">
        <color theme="4"/>
      </right>
      <top style="thin">
        <color theme="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medium">
        <color rgb="FF000000"/>
      </left>
      <right/>
      <top/>
      <bottom style="thin">
        <color rgb="FF000000"/>
      </bottom>
      <diagonal/>
    </border>
    <border>
      <left/>
      <right/>
      <top/>
      <bottom style="thin">
        <color rgb="FF000000"/>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style="thin">
        <color rgb="FF000000"/>
      </left>
      <right style="thin">
        <color rgb="FF000000"/>
      </right>
      <top style="thin">
        <color rgb="FF000000"/>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style="thin">
        <color rgb="FF000000"/>
      </right>
      <top/>
      <bottom style="thin">
        <color rgb="FF000000"/>
      </bottom>
      <diagonal/>
    </border>
    <border>
      <left style="thin">
        <color theme="4"/>
      </left>
      <right style="thin">
        <color theme="4"/>
      </right>
      <top style="thin">
        <color theme="4"/>
      </top>
      <bottom style="thin">
        <color theme="4"/>
      </bottom>
      <diagonal/>
    </border>
    <border>
      <left style="thin">
        <color theme="4"/>
      </left>
      <right/>
      <top style="thin">
        <color theme="4"/>
      </top>
      <bottom style="thin">
        <color theme="4"/>
      </bottom>
      <diagonal/>
    </border>
    <border>
      <left/>
      <right style="thin">
        <color theme="4"/>
      </right>
      <top style="thin">
        <color theme="4"/>
      </top>
      <bottom style="thin">
        <color theme="4"/>
      </bottom>
      <diagonal/>
    </border>
    <border>
      <left/>
      <right style="thin">
        <color theme="4"/>
      </right>
      <top/>
      <bottom/>
      <diagonal/>
    </border>
    <border>
      <left style="thin">
        <color theme="4"/>
      </left>
      <right style="thin">
        <color theme="4"/>
      </right>
      <top/>
      <bottom/>
      <diagonal/>
    </border>
    <border>
      <left style="thin">
        <color theme="4"/>
      </left>
      <right style="thin">
        <color theme="4"/>
      </right>
      <top/>
      <bottom style="thin">
        <color theme="4"/>
      </bottom>
      <diagonal/>
    </border>
    <border>
      <left style="thin">
        <color theme="4"/>
      </left>
      <right/>
      <top style="thin">
        <color theme="4"/>
      </top>
      <bottom style="thin">
        <color theme="4" tint="-0.249977111117893"/>
      </bottom>
      <diagonal/>
    </border>
    <border>
      <left/>
      <right/>
      <top style="thin">
        <color theme="4"/>
      </top>
      <bottom style="thin">
        <color theme="4" tint="-0.249977111117893"/>
      </bottom>
      <diagonal/>
    </border>
    <border>
      <left/>
      <right style="thin">
        <color theme="4"/>
      </right>
      <top style="thin">
        <color theme="4"/>
      </top>
      <bottom style="thin">
        <color theme="4" tint="-0.249977111117893"/>
      </bottom>
      <diagonal/>
    </border>
    <border>
      <left style="thin">
        <color theme="4"/>
      </left>
      <right/>
      <top style="thin">
        <color theme="4" tint="-0.249977111117893"/>
      </top>
      <bottom style="thin">
        <color theme="4" tint="-0.249977111117893"/>
      </bottom>
      <diagonal/>
    </border>
    <border>
      <left/>
      <right style="thin">
        <color theme="4"/>
      </right>
      <top style="thin">
        <color theme="4" tint="-0.249977111117893"/>
      </top>
      <bottom style="thin">
        <color theme="4" tint="-0.249977111117893"/>
      </bottom>
      <diagonal/>
    </border>
    <border>
      <left style="thin">
        <color theme="4"/>
      </left>
      <right/>
      <top/>
      <bottom style="thin">
        <color theme="4" tint="-0.249977111117893"/>
      </bottom>
      <diagonal/>
    </border>
    <border>
      <left/>
      <right style="thin">
        <color theme="4"/>
      </right>
      <top/>
      <bottom style="thin">
        <color theme="4" tint="-0.249977111117893"/>
      </bottom>
      <diagonal/>
    </border>
    <border>
      <left style="thin">
        <color theme="4"/>
      </left>
      <right/>
      <top/>
      <bottom/>
      <diagonal/>
    </border>
    <border>
      <left style="thin">
        <color theme="4"/>
      </left>
      <right/>
      <top style="thin">
        <color theme="4" tint="-0.249977111117893"/>
      </top>
      <bottom style="thin">
        <color theme="4"/>
      </bottom>
      <diagonal/>
    </border>
    <border>
      <left/>
      <right/>
      <top style="thin">
        <color theme="4" tint="-0.249977111117893"/>
      </top>
      <bottom style="thin">
        <color theme="4"/>
      </bottom>
      <diagonal/>
    </border>
    <border>
      <left/>
      <right style="thin">
        <color theme="4"/>
      </right>
      <top style="thin">
        <color theme="4" tint="-0.249977111117893"/>
      </top>
      <bottom style="thin">
        <color theme="4"/>
      </bottom>
      <diagonal/>
    </border>
    <border>
      <left style="thin">
        <color theme="4"/>
      </left>
      <right/>
      <top style="thin">
        <color theme="4"/>
      </top>
      <bottom/>
      <diagonal/>
    </border>
    <border>
      <left/>
      <right/>
      <top/>
      <bottom style="thin">
        <color theme="4"/>
      </bottom>
      <diagonal/>
    </border>
    <border>
      <left/>
      <right/>
      <top style="thin">
        <color theme="4"/>
      </top>
      <bottom style="thin">
        <color theme="4"/>
      </bottom>
      <diagonal/>
    </border>
    <border>
      <left style="thin">
        <color theme="4"/>
      </left>
      <right/>
      <top/>
      <bottom style="thin">
        <color theme="4"/>
      </bottom>
      <diagonal/>
    </border>
    <border>
      <left/>
      <right style="thin">
        <color theme="4"/>
      </right>
      <top/>
      <bottom style="thin">
        <color theme="4"/>
      </bottom>
      <diagonal/>
    </border>
  </borders>
  <cellStyleXfs count="6">
    <xf numFmtId="0" fontId="0" fillId="0" borderId="0"/>
    <xf numFmtId="0" fontId="2" fillId="0" borderId="0"/>
    <xf numFmtId="43" fontId="5" fillId="0" borderId="0" applyFont="0" applyFill="0" applyBorder="0" applyAlignment="0" applyProtection="0"/>
    <xf numFmtId="44" fontId="5" fillId="0" borderId="0" applyFont="0" applyFill="0" applyBorder="0" applyAlignment="0" applyProtection="0"/>
    <xf numFmtId="0" fontId="14" fillId="6" borderId="3" applyNumberFormat="0" applyAlignment="0" applyProtection="0"/>
    <xf numFmtId="0" fontId="15" fillId="7" borderId="3" applyNumberFormat="0" applyAlignment="0" applyProtection="0"/>
  </cellStyleXfs>
  <cellXfs count="176">
    <xf numFmtId="0" fontId="0" fillId="0" borderId="0" xfId="0"/>
    <xf numFmtId="0" fontId="3" fillId="0" borderId="0" xfId="0" applyFont="1"/>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xf>
    <xf numFmtId="0" fontId="1" fillId="2" borderId="0" xfId="0" applyFont="1" applyFill="1" applyAlignment="1">
      <alignment vertical="center"/>
    </xf>
    <xf numFmtId="0" fontId="0" fillId="2" borderId="0" xfId="0" applyFill="1" applyAlignment="1">
      <alignment horizontal="center" vertical="center"/>
    </xf>
    <xf numFmtId="0" fontId="4" fillId="2" borderId="0" xfId="0" applyFont="1" applyFill="1" applyAlignment="1">
      <alignment horizontal="center" vertical="center"/>
    </xf>
    <xf numFmtId="2" fontId="6" fillId="3" borderId="0" xfId="0" applyNumberFormat="1" applyFont="1" applyFill="1" applyAlignment="1">
      <alignment horizontal="left" vertical="center"/>
    </xf>
    <xf numFmtId="0" fontId="6" fillId="3" borderId="0" xfId="0" applyFont="1" applyFill="1" applyAlignment="1">
      <alignment horizontal="left" vertical="center" wrapText="1"/>
    </xf>
    <xf numFmtId="0" fontId="6" fillId="3" borderId="0" xfId="0" applyFont="1" applyFill="1" applyAlignment="1">
      <alignment horizontal="center" vertical="center" wrapText="1"/>
    </xf>
    <xf numFmtId="2" fontId="6" fillId="3" borderId="0" xfId="2" applyNumberFormat="1" applyFont="1" applyFill="1" applyBorder="1" applyAlignment="1">
      <alignment horizontal="center" vertical="center"/>
    </xf>
    <xf numFmtId="2" fontId="6" fillId="3" borderId="0" xfId="3" applyNumberFormat="1" applyFont="1" applyFill="1" applyBorder="1" applyAlignment="1">
      <alignment horizontal="right" vertical="center"/>
    </xf>
    <xf numFmtId="43" fontId="6" fillId="3" borderId="0" xfId="2" applyFont="1" applyFill="1" applyBorder="1" applyAlignment="1">
      <alignment horizontal="right" vertical="center"/>
    </xf>
    <xf numFmtId="2" fontId="7" fillId="0" borderId="0" xfId="0" applyNumberFormat="1" applyFont="1" applyAlignment="1">
      <alignment horizontal="left" vertical="center" wrapText="1"/>
    </xf>
    <xf numFmtId="0" fontId="7" fillId="0" borderId="0" xfId="0" applyFont="1" applyAlignment="1">
      <alignment horizontal="left" vertical="center" wrapText="1"/>
    </xf>
    <xf numFmtId="0" fontId="7" fillId="0" borderId="0" xfId="0" applyFont="1" applyAlignment="1">
      <alignment horizontal="center" vertical="center" wrapText="1"/>
    </xf>
    <xf numFmtId="2" fontId="7" fillId="0" borderId="0" xfId="0" applyNumberFormat="1" applyFont="1" applyAlignment="1">
      <alignment horizontal="center" vertical="center"/>
    </xf>
    <xf numFmtId="44" fontId="7" fillId="0" borderId="0" xfId="3" applyFont="1" applyFill="1" applyAlignment="1">
      <alignment horizontal="right" vertical="center"/>
    </xf>
    <xf numFmtId="164" fontId="7" fillId="0" borderId="0" xfId="2" applyNumberFormat="1" applyFont="1" applyBorder="1" applyAlignment="1">
      <alignment horizontal="right" vertical="center" wrapText="1"/>
    </xf>
    <xf numFmtId="44" fontId="7" fillId="0" borderId="0" xfId="3" applyFont="1" applyFill="1" applyAlignment="1">
      <alignment horizontal="center" vertical="center"/>
    </xf>
    <xf numFmtId="44" fontId="7" fillId="0" borderId="0" xfId="3" applyFont="1" applyAlignment="1">
      <alignment horizontal="right" vertical="center"/>
    </xf>
    <xf numFmtId="0" fontId="7" fillId="0" borderId="0" xfId="0" applyFont="1" applyAlignment="1">
      <alignment horizontal="left" vertical="center" wrapText="1" readingOrder="1"/>
    </xf>
    <xf numFmtId="0" fontId="0" fillId="0" borderId="0" xfId="0" applyAlignment="1">
      <alignment horizontal="left" vertical="center" wrapText="1"/>
    </xf>
    <xf numFmtId="0" fontId="0" fillId="0" borderId="0" xfId="0" applyAlignment="1">
      <alignment horizontal="center" vertical="center" wrapText="1"/>
    </xf>
    <xf numFmtId="2" fontId="0" fillId="0" borderId="0" xfId="0" applyNumberFormat="1" applyAlignment="1">
      <alignment horizontal="center" vertical="center" wrapText="1"/>
    </xf>
    <xf numFmtId="0" fontId="7" fillId="0" borderId="0" xfId="0" applyFont="1" applyAlignment="1">
      <alignment vertical="top"/>
    </xf>
    <xf numFmtId="0" fontId="7" fillId="0" borderId="0" xfId="0" applyFont="1"/>
    <xf numFmtId="0" fontId="11" fillId="5" borderId="1" xfId="0" applyFont="1" applyFill="1" applyBorder="1" applyAlignment="1">
      <alignment vertical="center" wrapText="1"/>
    </xf>
    <xf numFmtId="0" fontId="1" fillId="2" borderId="0" xfId="0" applyFont="1" applyFill="1" applyAlignment="1">
      <alignment horizontal="center" vertical="center" wrapText="1"/>
    </xf>
    <xf numFmtId="0" fontId="1" fillId="2" borderId="0" xfId="0" applyFont="1" applyFill="1" applyAlignment="1">
      <alignment horizontal="left" vertical="center" wrapText="1"/>
    </xf>
    <xf numFmtId="164" fontId="1" fillId="2" borderId="0" xfId="0" applyNumberFormat="1" applyFont="1" applyFill="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readingOrder="1"/>
    </xf>
    <xf numFmtId="2" fontId="6" fillId="8" borderId="0" xfId="0" applyNumberFormat="1" applyFont="1" applyFill="1" applyAlignment="1">
      <alignment horizontal="left" vertical="center"/>
    </xf>
    <xf numFmtId="0" fontId="6" fillId="8" borderId="0" xfId="0" applyFont="1" applyFill="1" applyAlignment="1">
      <alignment horizontal="left" vertical="center" wrapText="1"/>
    </xf>
    <xf numFmtId="0" fontId="6" fillId="8" borderId="0" xfId="0" applyFont="1" applyFill="1" applyAlignment="1">
      <alignment horizontal="center" vertical="center" wrapText="1"/>
    </xf>
    <xf numFmtId="2" fontId="6" fillId="8" borderId="0" xfId="2" applyNumberFormat="1" applyFont="1" applyFill="1" applyBorder="1" applyAlignment="1">
      <alignment horizontal="center" vertical="center"/>
    </xf>
    <xf numFmtId="2" fontId="6" fillId="8" borderId="0" xfId="3" applyNumberFormat="1" applyFont="1" applyFill="1" applyBorder="1" applyAlignment="1">
      <alignment horizontal="right" vertical="center"/>
    </xf>
    <xf numFmtId="43" fontId="6" fillId="8" borderId="0" xfId="2" applyFont="1" applyFill="1" applyBorder="1" applyAlignment="1">
      <alignment horizontal="right" vertical="center"/>
    </xf>
    <xf numFmtId="0" fontId="0" fillId="0" borderId="0" xfId="0" applyAlignment="1">
      <alignment wrapText="1"/>
    </xf>
    <xf numFmtId="0" fontId="7" fillId="0" borderId="0" xfId="0" applyFont="1" applyAlignment="1">
      <alignment wrapText="1"/>
    </xf>
    <xf numFmtId="0" fontId="7" fillId="0" borderId="0" xfId="0" applyFont="1" applyAlignment="1">
      <alignment vertical="center" wrapText="1"/>
    </xf>
    <xf numFmtId="0" fontId="7" fillId="0" borderId="0" xfId="0" applyFont="1" applyAlignment="1">
      <alignment horizontal="center" vertical="center"/>
    </xf>
    <xf numFmtId="0" fontId="7" fillId="0" borderId="0" xfId="0" applyFont="1" applyAlignment="1">
      <alignment vertical="center"/>
    </xf>
    <xf numFmtId="0" fontId="19" fillId="0" borderId="0" xfId="0" applyFont="1" applyAlignment="1">
      <alignment vertical="center" wrapText="1"/>
    </xf>
    <xf numFmtId="0" fontId="23" fillId="9" borderId="14" xfId="4" applyFont="1" applyFill="1" applyBorder="1"/>
    <xf numFmtId="165" fontId="24" fillId="7" borderId="14" xfId="5" applyNumberFormat="1" applyFont="1" applyBorder="1"/>
    <xf numFmtId="0" fontId="6" fillId="0" borderId="0" xfId="0" applyFont="1"/>
    <xf numFmtId="1" fontId="6" fillId="0" borderId="0" xfId="0" applyNumberFormat="1" applyFont="1"/>
    <xf numFmtId="0" fontId="21" fillId="0" borderId="0" xfId="0" applyFont="1"/>
    <xf numFmtId="0" fontId="0" fillId="0" borderId="15" xfId="0" applyBorder="1"/>
    <xf numFmtId="0" fontId="0" fillId="0" borderId="16" xfId="0" applyBorder="1"/>
    <xf numFmtId="0" fontId="0" fillId="0" borderId="17" xfId="0" applyBorder="1"/>
    <xf numFmtId="0" fontId="0" fillId="0" borderId="18" xfId="0" applyBorder="1"/>
    <xf numFmtId="0" fontId="0" fillId="0" borderId="7" xfId="0" applyBorder="1"/>
    <xf numFmtId="0" fontId="0" fillId="0" borderId="19" xfId="0" applyBorder="1"/>
    <xf numFmtId="1" fontId="24" fillId="7" borderId="20" xfId="5" applyNumberFormat="1" applyFont="1" applyBorder="1"/>
    <xf numFmtId="1" fontId="24" fillId="7" borderId="14" xfId="5" applyNumberFormat="1" applyFont="1" applyBorder="1"/>
    <xf numFmtId="1" fontId="24" fillId="7" borderId="21" xfId="5" applyNumberFormat="1" applyFont="1" applyBorder="1"/>
    <xf numFmtId="0" fontId="0" fillId="0" borderId="22" xfId="0" applyBorder="1"/>
    <xf numFmtId="0" fontId="0" fillId="0" borderId="23" xfId="0" applyBorder="1"/>
    <xf numFmtId="0" fontId="0" fillId="0" borderId="24" xfId="0" applyBorder="1"/>
    <xf numFmtId="0" fontId="26" fillId="0" borderId="20" xfId="0" applyFont="1" applyBorder="1"/>
    <xf numFmtId="0" fontId="26" fillId="0" borderId="14" xfId="0" applyFont="1" applyBorder="1" applyAlignment="1">
      <alignment horizontal="center"/>
    </xf>
    <xf numFmtId="0" fontId="26" fillId="0" borderId="32" xfId="0" applyFont="1" applyBorder="1"/>
    <xf numFmtId="0" fontId="26" fillId="0" borderId="21" xfId="0" applyFont="1" applyBorder="1"/>
    <xf numFmtId="0" fontId="6" fillId="0" borderId="29" xfId="0" applyFont="1" applyBorder="1"/>
    <xf numFmtId="0" fontId="6" fillId="0" borderId="30" xfId="0" applyFont="1" applyBorder="1"/>
    <xf numFmtId="0" fontId="6" fillId="0" borderId="31" xfId="0" applyFont="1" applyBorder="1"/>
    <xf numFmtId="0" fontId="27" fillId="0" borderId="27" xfId="0" applyFont="1" applyBorder="1"/>
    <xf numFmtId="0" fontId="0" fillId="0" borderId="27" xfId="0" applyBorder="1"/>
    <xf numFmtId="2" fontId="24" fillId="7" borderId="14" xfId="5" applyNumberFormat="1" applyFont="1" applyBorder="1"/>
    <xf numFmtId="0" fontId="0" fillId="0" borderId="28" xfId="0" applyBorder="1"/>
    <xf numFmtId="0" fontId="0" fillId="0" borderId="29" xfId="0" applyBorder="1"/>
    <xf numFmtId="0" fontId="0" fillId="0" borderId="33" xfId="0" applyBorder="1"/>
    <xf numFmtId="0" fontId="0" fillId="0" borderId="34" xfId="0" applyBorder="1"/>
    <xf numFmtId="2" fontId="24" fillId="7" borderId="35" xfId="5" applyNumberFormat="1" applyFont="1" applyBorder="1"/>
    <xf numFmtId="0" fontId="0" fillId="0" borderId="36" xfId="0" applyBorder="1"/>
    <xf numFmtId="2" fontId="24" fillId="7" borderId="37" xfId="5" applyNumberFormat="1" applyFont="1" applyBorder="1"/>
    <xf numFmtId="0" fontId="0" fillId="0" borderId="30" xfId="0" applyBorder="1"/>
    <xf numFmtId="0" fontId="0" fillId="0" borderId="31" xfId="0" applyBorder="1"/>
    <xf numFmtId="0" fontId="6" fillId="0" borderId="0" xfId="0" applyFont="1" applyAlignment="1">
      <alignment horizontal="center"/>
    </xf>
    <xf numFmtId="0" fontId="23" fillId="9" borderId="43" xfId="4" applyFont="1" applyFill="1" applyBorder="1"/>
    <xf numFmtId="0" fontId="28" fillId="5" borderId="44" xfId="0" applyFont="1" applyFill="1" applyBorder="1" applyAlignment="1">
      <alignment horizontal="center" vertical="center" wrapText="1"/>
    </xf>
    <xf numFmtId="0" fontId="20" fillId="0" borderId="44" xfId="0" applyFont="1" applyBorder="1" applyAlignment="1">
      <alignment vertical="center" wrapText="1"/>
    </xf>
    <xf numFmtId="0" fontId="28" fillId="5" borderId="5" xfId="0" applyFont="1" applyFill="1" applyBorder="1" applyAlignment="1">
      <alignment horizontal="center" vertical="center" wrapText="1"/>
    </xf>
    <xf numFmtId="0" fontId="20" fillId="0" borderId="47" xfId="0" applyFont="1" applyBorder="1" applyAlignment="1">
      <alignment vertical="center" wrapText="1"/>
    </xf>
    <xf numFmtId="0" fontId="20" fillId="0" borderId="5" xfId="0" applyFont="1" applyBorder="1" applyAlignment="1">
      <alignment vertical="center" wrapText="1"/>
    </xf>
    <xf numFmtId="0" fontId="20" fillId="0" borderId="6" xfId="0" applyFont="1" applyBorder="1" applyAlignment="1">
      <alignment vertical="center" wrapText="1"/>
    </xf>
    <xf numFmtId="0" fontId="0" fillId="0" borderId="4" xfId="0" applyBorder="1" applyAlignment="1">
      <alignment wrapText="1"/>
    </xf>
    <xf numFmtId="0" fontId="29" fillId="0" borderId="6" xfId="0" applyFont="1" applyBorder="1" applyAlignment="1">
      <alignment horizontal="center" vertical="center" wrapText="1"/>
    </xf>
    <xf numFmtId="0" fontId="19" fillId="0" borderId="0" xfId="0" applyFont="1" applyAlignment="1">
      <alignment horizontal="center" vertical="center"/>
    </xf>
    <xf numFmtId="0" fontId="0" fillId="0" borderId="46" xfId="0" applyBorder="1" applyAlignment="1">
      <alignment vertical="center" wrapText="1"/>
    </xf>
    <xf numFmtId="0" fontId="0" fillId="0" borderId="6" xfId="0" applyBorder="1" applyAlignment="1">
      <alignment vertical="center" wrapText="1"/>
    </xf>
    <xf numFmtId="0" fontId="0" fillId="0" borderId="44" xfId="0" applyBorder="1" applyAlignment="1">
      <alignment vertical="center" wrapText="1"/>
    </xf>
    <xf numFmtId="0" fontId="0" fillId="0" borderId="48" xfId="0" applyBorder="1" applyAlignment="1">
      <alignment vertical="center" wrapText="1"/>
    </xf>
    <xf numFmtId="0" fontId="0" fillId="0" borderId="49" xfId="0" applyBorder="1" applyAlignment="1">
      <alignment vertical="center" wrapText="1"/>
    </xf>
    <xf numFmtId="0" fontId="11" fillId="5" borderId="53" xfId="0" applyFont="1" applyFill="1" applyBorder="1" applyAlignment="1">
      <alignment vertical="center" wrapText="1"/>
    </xf>
    <xf numFmtId="0" fontId="11" fillId="5" borderId="54" xfId="0" applyFont="1" applyFill="1" applyBorder="1" applyAlignment="1">
      <alignment horizontal="center" vertical="center" wrapText="1"/>
    </xf>
    <xf numFmtId="0" fontId="7" fillId="0" borderId="55" xfId="0" applyFont="1" applyBorder="1" applyAlignment="1">
      <alignment horizontal="left" vertical="center" wrapText="1"/>
    </xf>
    <xf numFmtId="0" fontId="12" fillId="0" borderId="56" xfId="0" applyFont="1" applyBorder="1" applyAlignment="1">
      <alignment vertical="center"/>
    </xf>
    <xf numFmtId="0" fontId="7" fillId="0" borderId="53" xfId="0" applyFont="1" applyBorder="1" applyAlignment="1">
      <alignment horizontal="left" vertical="center" wrapText="1"/>
    </xf>
    <xf numFmtId="0" fontId="12" fillId="0" borderId="54" xfId="0" applyFont="1" applyBorder="1" applyAlignment="1">
      <alignment vertical="center"/>
    </xf>
    <xf numFmtId="0" fontId="7" fillId="0" borderId="55" xfId="0" applyFont="1" applyBorder="1" applyAlignment="1">
      <alignment horizontal="left" vertical="center" wrapText="1" readingOrder="1"/>
    </xf>
    <xf numFmtId="0" fontId="11" fillId="5" borderId="58" xfId="0" applyFont="1" applyFill="1" applyBorder="1" applyAlignment="1">
      <alignment vertical="center" wrapText="1"/>
    </xf>
    <xf numFmtId="0" fontId="11" fillId="5" borderId="59" xfId="0" applyFont="1" applyFill="1" applyBorder="1" applyAlignment="1">
      <alignment vertical="center" wrapText="1"/>
    </xf>
    <xf numFmtId="0" fontId="11" fillId="5" borderId="60" xfId="0" applyFont="1" applyFill="1" applyBorder="1" applyAlignment="1">
      <alignment horizontal="center" vertical="center" wrapText="1"/>
    </xf>
    <xf numFmtId="0" fontId="8" fillId="0" borderId="61"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4" xfId="0" applyFont="1" applyBorder="1" applyAlignment="1">
      <alignment horizontal="center" vertical="center" wrapText="1"/>
    </xf>
    <xf numFmtId="0" fontId="8" fillId="0" borderId="62" xfId="0" applyFont="1" applyBorder="1" applyAlignment="1">
      <alignment horizontal="center" vertical="center" wrapText="1"/>
    </xf>
    <xf numFmtId="0" fontId="8" fillId="0" borderId="65" xfId="0" applyFont="1" applyBorder="1" applyAlignment="1">
      <alignment horizontal="center" vertical="center" wrapText="1"/>
    </xf>
    <xf numFmtId="0" fontId="0" fillId="0" borderId="45" xfId="0" applyBorder="1" applyAlignment="1">
      <alignment horizontal="left" vertical="center" wrapText="1"/>
    </xf>
    <xf numFmtId="0" fontId="0" fillId="0" borderId="63" xfId="0" applyBorder="1" applyAlignment="1">
      <alignment horizontal="left" vertical="center" wrapText="1"/>
    </xf>
    <xf numFmtId="0" fontId="0" fillId="0" borderId="46" xfId="0" applyBorder="1" applyAlignment="1">
      <alignment horizontal="left" vertical="center" wrapText="1"/>
    </xf>
    <xf numFmtId="0" fontId="8" fillId="0" borderId="0" xfId="0" applyFont="1" applyAlignment="1">
      <alignment horizontal="center" vertical="center"/>
    </xf>
    <xf numFmtId="0" fontId="10" fillId="4" borderId="57" xfId="0" applyFont="1" applyFill="1" applyBorder="1" applyAlignment="1">
      <alignment horizontal="left" vertical="center"/>
    </xf>
    <xf numFmtId="0" fontId="10" fillId="4" borderId="0" xfId="0" applyFont="1" applyFill="1" applyAlignment="1">
      <alignment horizontal="left" vertical="center"/>
    </xf>
    <xf numFmtId="0" fontId="10" fillId="4" borderId="47" xfId="0" applyFont="1" applyFill="1" applyBorder="1" applyAlignment="1">
      <alignment horizontal="left" vertical="center"/>
    </xf>
    <xf numFmtId="0" fontId="10" fillId="4" borderId="53" xfId="0" applyFont="1" applyFill="1" applyBorder="1" applyAlignment="1">
      <alignment horizontal="left" vertical="center" wrapText="1"/>
    </xf>
    <xf numFmtId="0" fontId="10" fillId="4" borderId="1" xfId="0" applyFont="1" applyFill="1" applyBorder="1" applyAlignment="1">
      <alignment horizontal="left" vertical="center" wrapText="1"/>
    </xf>
    <xf numFmtId="0" fontId="10" fillId="4" borderId="54" xfId="0" applyFont="1" applyFill="1" applyBorder="1" applyAlignment="1">
      <alignment horizontal="left" vertical="center" wrapText="1"/>
    </xf>
    <xf numFmtId="0" fontId="9" fillId="0" borderId="0" xfId="0" applyFont="1" applyAlignment="1">
      <alignment horizontal="center" vertical="center" wrapText="1"/>
    </xf>
    <xf numFmtId="0" fontId="10" fillId="4" borderId="50" xfId="0" applyFont="1" applyFill="1" applyBorder="1" applyAlignment="1">
      <alignment horizontal="left" vertical="center"/>
    </xf>
    <xf numFmtId="0" fontId="10" fillId="4" borderId="51" xfId="0" applyFont="1" applyFill="1" applyBorder="1" applyAlignment="1">
      <alignment horizontal="left" vertical="center"/>
    </xf>
    <xf numFmtId="0" fontId="10" fillId="4" borderId="52" xfId="0" applyFont="1" applyFill="1" applyBorder="1" applyAlignment="1">
      <alignment horizontal="left" vertical="center"/>
    </xf>
    <xf numFmtId="0" fontId="6" fillId="0" borderId="6"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48" xfId="0" applyFont="1" applyBorder="1" applyAlignment="1">
      <alignment horizontal="center" vertical="center" wrapText="1"/>
    </xf>
    <xf numFmtId="0" fontId="29" fillId="0" borderId="49" xfId="0" applyFont="1" applyBorder="1" applyAlignment="1">
      <alignment horizontal="center" vertical="center" wrapText="1"/>
    </xf>
    <xf numFmtId="0" fontId="9" fillId="0" borderId="45" xfId="0" applyFont="1" applyBorder="1" applyAlignment="1">
      <alignment horizontal="center" vertical="center" wrapText="1"/>
    </xf>
    <xf numFmtId="0" fontId="9" fillId="0" borderId="46"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8" xfId="0" applyFont="1" applyBorder="1" applyAlignment="1">
      <alignment horizontal="center" vertical="center" wrapText="1"/>
    </xf>
    <xf numFmtId="0" fontId="9" fillId="0" borderId="49" xfId="0" applyFont="1" applyBorder="1" applyAlignment="1">
      <alignment horizontal="center" vertical="center" wrapText="1"/>
    </xf>
    <xf numFmtId="0" fontId="25" fillId="0" borderId="11" xfId="0" applyFont="1" applyBorder="1" applyAlignment="1">
      <alignment horizontal="center"/>
    </xf>
    <xf numFmtId="0" fontId="25" fillId="0" borderId="12" xfId="0" applyFont="1" applyBorder="1" applyAlignment="1">
      <alignment horizontal="center"/>
    </xf>
    <xf numFmtId="0" fontId="25" fillId="0" borderId="13" xfId="0" applyFont="1" applyBorder="1" applyAlignment="1">
      <alignment horizontal="center"/>
    </xf>
    <xf numFmtId="0" fontId="6" fillId="0" borderId="25" xfId="0" applyFont="1" applyBorder="1" applyAlignment="1">
      <alignment horizontal="center" wrapText="1"/>
    </xf>
    <xf numFmtId="0" fontId="6" fillId="0" borderId="26" xfId="0" applyFont="1" applyBorder="1" applyAlignment="1">
      <alignment horizontal="center" wrapText="1"/>
    </xf>
    <xf numFmtId="0" fontId="6" fillId="0" borderId="25" xfId="0" applyFont="1" applyBorder="1" applyAlignment="1">
      <alignment horizontal="left" wrapText="1"/>
    </xf>
    <xf numFmtId="0" fontId="6" fillId="0" borderId="26" xfId="0" applyFont="1" applyBorder="1" applyAlignment="1">
      <alignment horizontal="left" wrapText="1"/>
    </xf>
    <xf numFmtId="0" fontId="6" fillId="0" borderId="27" xfId="0" applyFont="1" applyBorder="1" applyAlignment="1">
      <alignment horizontal="center" wrapText="1"/>
    </xf>
    <xf numFmtId="0" fontId="6" fillId="0" borderId="0" xfId="0" applyFont="1" applyAlignment="1">
      <alignment horizontal="center" wrapText="1"/>
    </xf>
    <xf numFmtId="0" fontId="6" fillId="0" borderId="28" xfId="0" applyFont="1" applyBorder="1" applyAlignment="1">
      <alignment horizontal="center" wrapText="1"/>
    </xf>
    <xf numFmtId="0" fontId="6" fillId="0" borderId="29" xfId="0" applyFont="1" applyBorder="1" applyAlignment="1">
      <alignment horizontal="center"/>
    </xf>
    <xf numFmtId="0" fontId="6" fillId="0" borderId="30" xfId="0" applyFont="1" applyBorder="1" applyAlignment="1">
      <alignment horizontal="center"/>
    </xf>
    <xf numFmtId="0" fontId="6" fillId="0" borderId="31" xfId="0" applyFont="1"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6" fillId="0" borderId="8" xfId="0" applyFont="1" applyBorder="1" applyAlignment="1">
      <alignment horizontal="center"/>
    </xf>
    <xf numFmtId="0" fontId="6" fillId="0" borderId="9" xfId="0" applyFont="1" applyBorder="1" applyAlignment="1">
      <alignment horizontal="center"/>
    </xf>
    <xf numFmtId="0" fontId="6" fillId="0" borderId="10" xfId="0" applyFont="1" applyBorder="1" applyAlignment="1">
      <alignment horizontal="center"/>
    </xf>
    <xf numFmtId="0" fontId="23" fillId="9" borderId="32" xfId="4" applyFont="1" applyFill="1" applyBorder="1" applyAlignment="1">
      <alignment horizontal="left" vertical="top"/>
    </xf>
    <xf numFmtId="0" fontId="23" fillId="9" borderId="38" xfId="4" applyFont="1" applyFill="1" applyBorder="1" applyAlignment="1">
      <alignment horizontal="left" vertical="top"/>
    </xf>
    <xf numFmtId="0" fontId="23" fillId="9" borderId="39" xfId="4" applyFont="1" applyFill="1" applyBorder="1" applyAlignment="1">
      <alignment horizontal="left" vertical="top"/>
    </xf>
    <xf numFmtId="2" fontId="24" fillId="7" borderId="32" xfId="5" applyNumberFormat="1" applyFont="1" applyBorder="1" applyAlignment="1">
      <alignment horizontal="left"/>
    </xf>
    <xf numFmtId="2" fontId="24" fillId="7" borderId="38" xfId="5" applyNumberFormat="1" applyFont="1" applyBorder="1" applyAlignment="1">
      <alignment horizontal="left"/>
    </xf>
    <xf numFmtId="2" fontId="24" fillId="7" borderId="39" xfId="5" applyNumberFormat="1" applyFont="1" applyBorder="1" applyAlignment="1">
      <alignment horizontal="left"/>
    </xf>
    <xf numFmtId="0" fontId="6" fillId="0" borderId="11" xfId="0" applyFont="1" applyBorder="1" applyAlignment="1">
      <alignment horizontal="center"/>
    </xf>
    <xf numFmtId="0" fontId="6" fillId="0" borderId="12" xfId="0" applyFont="1" applyBorder="1" applyAlignment="1">
      <alignment horizontal="center"/>
    </xf>
    <xf numFmtId="0" fontId="6" fillId="0" borderId="13" xfId="0" applyFont="1" applyBorder="1" applyAlignment="1">
      <alignment horizontal="center"/>
    </xf>
    <xf numFmtId="0" fontId="6" fillId="0" borderId="40" xfId="0" applyFont="1" applyBorder="1" applyAlignment="1">
      <alignment horizontal="center"/>
    </xf>
    <xf numFmtId="0" fontId="6" fillId="0" borderId="41" xfId="0" applyFont="1" applyBorder="1" applyAlignment="1">
      <alignment horizontal="center"/>
    </xf>
    <xf numFmtId="0" fontId="6" fillId="0" borderId="42" xfId="0" applyFont="1" applyBorder="1" applyAlignment="1">
      <alignment horizontal="center"/>
    </xf>
    <xf numFmtId="0" fontId="23" fillId="9" borderId="32" xfId="4" applyFont="1" applyFill="1" applyBorder="1" applyAlignment="1">
      <alignment horizontal="left" vertical="top" wrapText="1"/>
    </xf>
    <xf numFmtId="0" fontId="23" fillId="9" borderId="38" xfId="4" applyFont="1" applyFill="1" applyBorder="1" applyAlignment="1">
      <alignment horizontal="left" vertical="top" wrapText="1"/>
    </xf>
    <xf numFmtId="0" fontId="23" fillId="9" borderId="39" xfId="4" applyFont="1" applyFill="1" applyBorder="1" applyAlignment="1">
      <alignment horizontal="left" vertical="top" wrapText="1"/>
    </xf>
    <xf numFmtId="2" fontId="24" fillId="7" borderId="32" xfId="5" applyNumberFormat="1" applyFont="1" applyBorder="1" applyAlignment="1">
      <alignment horizontal="left" wrapText="1"/>
    </xf>
    <xf numFmtId="2" fontId="24" fillId="7" borderId="38" xfId="5" applyNumberFormat="1" applyFont="1" applyBorder="1" applyAlignment="1">
      <alignment horizontal="left" wrapText="1"/>
    </xf>
    <xf numFmtId="2" fontId="24" fillId="7" borderId="39" xfId="5" applyNumberFormat="1" applyFont="1" applyBorder="1" applyAlignment="1">
      <alignment horizontal="left" wrapText="1"/>
    </xf>
  </cellXfs>
  <cellStyles count="6">
    <cellStyle name="Calculation" xfId="5" builtinId="22"/>
    <cellStyle name="Comma" xfId="2" builtinId="3"/>
    <cellStyle name="Currency" xfId="3" builtinId="4"/>
    <cellStyle name="Input" xfId="4" builtinId="20"/>
    <cellStyle name="Normal" xfId="0" builtinId="0"/>
    <cellStyle name="Normal 2" xfId="1" xr:uid="{C0BD128F-8296-4D94-B924-515FCC4AC0ED}"/>
  </cellStyles>
  <dxfs count="28">
    <dxf>
      <font>
        <b val="0"/>
        <i val="0"/>
        <strike val="0"/>
        <condense val="0"/>
        <extend val="0"/>
        <outline val="0"/>
        <shadow val="0"/>
        <u val="none"/>
        <vertAlign val="baseline"/>
        <sz val="11"/>
        <color theme="0"/>
        <name val="Calibri"/>
        <family val="2"/>
        <scheme val="minor"/>
      </font>
      <numFmt numFmtId="164" formatCode="_-[$$-409]* #,##0.00_ ;_-[$$-409]* \-#,##0.00\ ;_-[$$-409]* &quot;-&quot;??_ ;_-@_ "/>
      <fill>
        <patternFill patternType="solid">
          <fgColor indexed="6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11"/>
        <color theme="0"/>
        <name val="Calibri"/>
        <family val="2"/>
        <scheme val="minor"/>
      </font>
      <fill>
        <patternFill patternType="solid">
          <fgColor indexed="64"/>
          <bgColor theme="4"/>
        </patternFill>
      </fill>
      <alignment horizontal="left" vertical="center" textRotation="0" wrapText="1" indent="0" justifyLastLine="0" shrinkToFit="0" readingOrder="0"/>
    </dxf>
    <dxf>
      <font>
        <b val="0"/>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11"/>
        <color theme="0"/>
        <name val="Calibri"/>
        <family val="2"/>
        <scheme val="minor"/>
      </font>
      <fill>
        <patternFill patternType="solid">
          <fgColor indexed="64"/>
          <bgColor theme="4"/>
        </patternFill>
      </fill>
      <alignment horizontal="general" vertical="center" textRotation="0" wrapText="0" indent="0" justifyLastLine="0" shrinkToFit="0" readingOrder="0"/>
    </dxf>
    <dxf>
      <alignment horizontal="general" vertical="center" textRotation="0" wrapText="1" indent="0" justifyLastLine="0" shrinkToFit="0" readingOrder="0"/>
    </dxf>
    <dxf>
      <font>
        <b val="0"/>
        <i val="0"/>
        <strike val="0"/>
        <condense val="0"/>
        <extend val="0"/>
        <outline val="0"/>
        <shadow val="0"/>
        <u val="none"/>
        <vertAlign val="baseline"/>
        <sz val="11"/>
        <color theme="0"/>
        <name val="Calibri"/>
        <family val="2"/>
        <scheme val="minor"/>
      </font>
      <fill>
        <patternFill patternType="solid">
          <fgColor indexed="64"/>
          <bgColor theme="4"/>
        </patternFill>
      </fill>
      <alignment horizontal="general" vertical="center" textRotation="0" wrapText="0" indent="0" justifyLastLine="0" shrinkToFit="0" readingOrder="0"/>
    </dxf>
    <dxf>
      <alignment vertical="center" textRotation="0" indent="0" justifyLastLine="0" shrinkToFit="0" readingOrder="0"/>
    </dxf>
    <dxf>
      <font>
        <b val="0"/>
        <i val="0"/>
        <strike val="0"/>
        <condense val="0"/>
        <extend val="0"/>
        <outline val="0"/>
        <shadow val="0"/>
        <u val="none"/>
        <vertAlign val="baseline"/>
        <sz val="11"/>
        <color theme="0"/>
        <name val="Calibri"/>
        <family val="2"/>
        <scheme val="minor"/>
      </font>
      <fill>
        <patternFill patternType="solid">
          <fgColor indexed="64"/>
          <bgColor theme="4"/>
        </patternFill>
      </fill>
      <alignment horizontal="general" vertical="center" textRotation="0" wrapText="0" indent="0" justifyLastLine="0" shrinkToFit="0" readingOrder="0"/>
    </dxf>
    <dxf>
      <alignment vertical="center" textRotation="0" indent="0" justifyLastLine="0" shrinkToFit="0" readingOrder="0"/>
    </dxf>
    <dxf>
      <font>
        <b val="0"/>
        <i val="0"/>
        <strike val="0"/>
        <condense val="0"/>
        <extend val="0"/>
        <outline val="0"/>
        <shadow val="0"/>
        <u val="none"/>
        <vertAlign val="baseline"/>
        <sz val="11"/>
        <color theme="0"/>
        <name val="Calibri"/>
        <family val="2"/>
        <scheme val="minor"/>
      </font>
      <fill>
        <patternFill patternType="solid">
          <fgColor indexed="64"/>
          <bgColor theme="4"/>
        </patternFill>
      </fill>
      <alignment horizontal="general" vertical="center" textRotation="0" wrapText="0" indent="0" justifyLastLine="0" shrinkToFit="0" readingOrder="0"/>
    </dxf>
    <dxf>
      <alignment horizontal="general" vertical="center" textRotation="0" wrapText="0" indent="0" justifyLastLine="0" shrinkToFit="0" readingOrder="0"/>
    </dxf>
    <dxf>
      <font>
        <b val="0"/>
        <i val="0"/>
        <strike val="0"/>
        <condense val="0"/>
        <extend val="0"/>
        <outline val="0"/>
        <shadow val="0"/>
        <u val="none"/>
        <vertAlign val="baseline"/>
        <sz val="11"/>
        <color theme="0"/>
        <name val="Calibri"/>
        <family val="2"/>
        <scheme val="minor"/>
      </font>
      <fill>
        <patternFill patternType="solid">
          <fgColor indexed="64"/>
          <bgColor theme="4"/>
        </patternFill>
      </fill>
      <alignment horizontal="general" vertical="center" textRotation="0" wrapText="0" indent="0" justifyLastLine="0" shrinkToFit="0" readingOrder="0"/>
    </dxf>
    <dxf>
      <alignment vertical="center" textRotation="0" indent="0" justifyLastLine="0" shrinkToFit="0" readingOrder="0"/>
    </dxf>
    <dxf>
      <font>
        <b val="0"/>
        <i val="0"/>
        <strike val="0"/>
        <condense val="0"/>
        <extend val="0"/>
        <outline val="0"/>
        <shadow val="0"/>
        <u val="none"/>
        <vertAlign val="baseline"/>
        <sz val="11"/>
        <color theme="0"/>
        <name val="Calibri"/>
        <family val="2"/>
        <scheme val="minor"/>
      </font>
      <fill>
        <patternFill patternType="solid">
          <fgColor indexed="64"/>
          <bgColor theme="4"/>
        </patternFill>
      </fill>
      <alignment horizontal="general" vertical="center" textRotation="0" wrapText="0" indent="0" justifyLastLine="0" shrinkToFit="0" readingOrder="0"/>
    </dxf>
    <dxf>
      <alignment vertical="center" textRotation="0" indent="0" justifyLastLine="0" shrinkToFit="0" readingOrder="0"/>
    </dxf>
    <dxf>
      <font>
        <strike val="0"/>
        <outline val="0"/>
        <shadow val="0"/>
        <u val="none"/>
        <vertAlign val="baseline"/>
        <sz val="11"/>
        <color theme="0"/>
        <name val="Calibri"/>
        <family val="2"/>
        <scheme val="minor"/>
      </font>
      <fill>
        <patternFill patternType="solid">
          <fgColor indexed="64"/>
          <bgColor theme="4"/>
        </patternFill>
      </fill>
      <alignment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numFmt numFmtId="164" formatCode="_-[$$-409]* #,##0.00_ ;_-[$$-409]* \-#,##0.00\ ;_-[$$-409]* &quot;-&quot;??_ ;_-@_ "/>
    </dxf>
    <dxf>
      <alignment horizontal="center" vertical="center" textRotation="0" indent="0" justifyLastLine="0" shrinkToFit="0" readingOrder="0"/>
    </dxf>
    <dxf>
      <alignment horizontal="center" vertical="center"/>
    </dxf>
    <dxf>
      <alignment horizontal="left" vertical="center"/>
    </dxf>
    <dxf>
      <font>
        <b val="0"/>
        <i val="0"/>
        <strike val="0"/>
        <condense val="0"/>
        <extend val="0"/>
        <outline val="0"/>
        <shadow val="0"/>
        <u val="none"/>
        <vertAlign val="baseline"/>
        <sz val="11"/>
        <color rgb="FFFFFFFF"/>
        <name val="Calibri"/>
        <scheme val="none"/>
      </font>
      <fill>
        <patternFill patternType="solid">
          <fgColor indexed="64"/>
          <bgColor theme="4"/>
        </patternFill>
      </fill>
      <alignment horizontal="center" vertical="center" textRotation="0" wrapText="1" indent="0" justifyLastLine="0" shrinkToFit="0" readingOrder="0"/>
    </dxf>
    <dxf>
      <font>
        <strike val="0"/>
        <outline val="0"/>
        <shadow val="0"/>
        <u val="none"/>
        <vertAlign val="baseline"/>
        <sz val="11"/>
        <color rgb="FF000000"/>
        <name val="Calibri"/>
        <scheme val="none"/>
      </font>
    </dxf>
    <dxf>
      <font>
        <strike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externalLink" Target="externalLinks/externalLink19.xml"/><Relationship Id="rId39" Type="http://schemas.openxmlformats.org/officeDocument/2006/relationships/externalLink" Target="externalLinks/externalLink32.xml"/><Relationship Id="rId21" Type="http://schemas.openxmlformats.org/officeDocument/2006/relationships/externalLink" Target="externalLinks/externalLink14.xml"/><Relationship Id="rId34" Type="http://schemas.openxmlformats.org/officeDocument/2006/relationships/externalLink" Target="externalLinks/externalLink27.xml"/><Relationship Id="rId42" Type="http://schemas.openxmlformats.org/officeDocument/2006/relationships/externalLink" Target="externalLinks/externalLink35.xml"/><Relationship Id="rId47" Type="http://schemas.openxmlformats.org/officeDocument/2006/relationships/externalLink" Target="externalLinks/externalLink40.xml"/><Relationship Id="rId50" Type="http://schemas.openxmlformats.org/officeDocument/2006/relationships/externalLink" Target="externalLinks/externalLink43.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9.xml"/><Relationship Id="rId29" Type="http://schemas.openxmlformats.org/officeDocument/2006/relationships/externalLink" Target="externalLinks/externalLink22.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32" Type="http://schemas.openxmlformats.org/officeDocument/2006/relationships/externalLink" Target="externalLinks/externalLink25.xml"/><Relationship Id="rId37" Type="http://schemas.openxmlformats.org/officeDocument/2006/relationships/externalLink" Target="externalLinks/externalLink30.xml"/><Relationship Id="rId40" Type="http://schemas.openxmlformats.org/officeDocument/2006/relationships/externalLink" Target="externalLinks/externalLink33.xml"/><Relationship Id="rId45" Type="http://schemas.openxmlformats.org/officeDocument/2006/relationships/externalLink" Target="externalLinks/externalLink38.xml"/><Relationship Id="rId53" Type="http://schemas.openxmlformats.org/officeDocument/2006/relationships/theme" Target="theme/theme1.xml"/><Relationship Id="rId58" Type="http://schemas.openxmlformats.org/officeDocument/2006/relationships/customXml" Target="../customXml/item2.xml"/><Relationship Id="rId5" Type="http://schemas.openxmlformats.org/officeDocument/2006/relationships/worksheet" Target="worksheets/sheet5.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externalLink" Target="externalLinks/externalLink20.xml"/><Relationship Id="rId30" Type="http://schemas.openxmlformats.org/officeDocument/2006/relationships/externalLink" Target="externalLinks/externalLink23.xml"/><Relationship Id="rId35" Type="http://schemas.openxmlformats.org/officeDocument/2006/relationships/externalLink" Target="externalLinks/externalLink28.xml"/><Relationship Id="rId43" Type="http://schemas.openxmlformats.org/officeDocument/2006/relationships/externalLink" Target="externalLinks/externalLink36.xml"/><Relationship Id="rId48" Type="http://schemas.openxmlformats.org/officeDocument/2006/relationships/externalLink" Target="externalLinks/externalLink41.xml"/><Relationship Id="rId56" Type="http://schemas.openxmlformats.org/officeDocument/2006/relationships/calcChain" Target="calcChain.xml"/><Relationship Id="rId8" Type="http://schemas.openxmlformats.org/officeDocument/2006/relationships/externalLink" Target="externalLinks/externalLink1.xml"/><Relationship Id="rId51" Type="http://schemas.openxmlformats.org/officeDocument/2006/relationships/externalLink" Target="externalLinks/externalLink44.xml"/><Relationship Id="rId3" Type="http://schemas.openxmlformats.org/officeDocument/2006/relationships/worksheet" Target="worksheets/sheet3.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33" Type="http://schemas.openxmlformats.org/officeDocument/2006/relationships/externalLink" Target="externalLinks/externalLink26.xml"/><Relationship Id="rId38" Type="http://schemas.openxmlformats.org/officeDocument/2006/relationships/externalLink" Target="externalLinks/externalLink31.xml"/><Relationship Id="rId46" Type="http://schemas.openxmlformats.org/officeDocument/2006/relationships/externalLink" Target="externalLinks/externalLink39.xml"/><Relationship Id="rId59" Type="http://schemas.openxmlformats.org/officeDocument/2006/relationships/customXml" Target="../customXml/item3.xml"/><Relationship Id="rId20" Type="http://schemas.openxmlformats.org/officeDocument/2006/relationships/externalLink" Target="externalLinks/externalLink13.xml"/><Relationship Id="rId41" Type="http://schemas.openxmlformats.org/officeDocument/2006/relationships/externalLink" Target="externalLinks/externalLink34.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externalLink" Target="externalLinks/externalLink21.xml"/><Relationship Id="rId36" Type="http://schemas.openxmlformats.org/officeDocument/2006/relationships/externalLink" Target="externalLinks/externalLink29.xml"/><Relationship Id="rId49" Type="http://schemas.openxmlformats.org/officeDocument/2006/relationships/externalLink" Target="externalLinks/externalLink42.xml"/><Relationship Id="rId57" Type="http://schemas.openxmlformats.org/officeDocument/2006/relationships/customXml" Target="../customXml/item1.xml"/><Relationship Id="rId10" Type="http://schemas.openxmlformats.org/officeDocument/2006/relationships/externalLink" Target="externalLinks/externalLink3.xml"/><Relationship Id="rId31" Type="http://schemas.openxmlformats.org/officeDocument/2006/relationships/externalLink" Target="externalLinks/externalLink24.xml"/><Relationship Id="rId44" Type="http://schemas.openxmlformats.org/officeDocument/2006/relationships/externalLink" Target="externalLinks/externalLink37.xml"/><Relationship Id="rId52" Type="http://schemas.openxmlformats.org/officeDocument/2006/relationships/externalLink" Target="externalLinks/externalLink4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3</xdr:col>
      <xdr:colOff>213016</xdr:colOff>
      <xdr:row>0</xdr:row>
      <xdr:rowOff>6927</xdr:rowOff>
    </xdr:from>
    <xdr:to>
      <xdr:col>5</xdr:col>
      <xdr:colOff>975016</xdr:colOff>
      <xdr:row>5</xdr:row>
      <xdr:rowOff>172771</xdr:rowOff>
    </xdr:to>
    <xdr:pic>
      <xdr:nvPicPr>
        <xdr:cNvPr id="2" name="Picture 4">
          <a:extLst>
            <a:ext uri="{FF2B5EF4-FFF2-40B4-BE49-F238E27FC236}">
              <a16:creationId xmlns:a16="http://schemas.microsoft.com/office/drawing/2014/main" id="{1BEC900D-EFAF-45CE-A26C-739AE998FC3F}"/>
            </a:ext>
          </a:extLst>
        </xdr:cNvPr>
        <xdr:cNvPicPr>
          <a:picLocks noChangeAspect="1"/>
        </xdr:cNvPicPr>
      </xdr:nvPicPr>
      <xdr:blipFill>
        <a:blip xmlns:r="http://schemas.openxmlformats.org/officeDocument/2006/relationships" r:embed="rId1"/>
        <a:stretch>
          <a:fillRect/>
        </a:stretch>
      </xdr:blipFill>
      <xdr:spPr>
        <a:xfrm>
          <a:off x="5882296" y="6927"/>
          <a:ext cx="2552700" cy="10802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1626871</xdr:colOff>
      <xdr:row>0</xdr:row>
      <xdr:rowOff>28575</xdr:rowOff>
    </xdr:from>
    <xdr:to>
      <xdr:col>5</xdr:col>
      <xdr:colOff>1554481</xdr:colOff>
      <xdr:row>6</xdr:row>
      <xdr:rowOff>17254</xdr:rowOff>
    </xdr:to>
    <xdr:pic>
      <xdr:nvPicPr>
        <xdr:cNvPr id="3" name="Picture 4">
          <a:extLst>
            <a:ext uri="{FF2B5EF4-FFF2-40B4-BE49-F238E27FC236}">
              <a16:creationId xmlns:a16="http://schemas.microsoft.com/office/drawing/2014/main" id="{D87BF172-4910-403D-862D-F182BD271955}"/>
            </a:ext>
          </a:extLst>
        </xdr:cNvPr>
        <xdr:cNvPicPr>
          <a:picLocks noChangeAspect="1"/>
        </xdr:cNvPicPr>
      </xdr:nvPicPr>
      <xdr:blipFill>
        <a:blip xmlns:r="http://schemas.openxmlformats.org/officeDocument/2006/relationships" r:embed="rId1"/>
        <a:stretch>
          <a:fillRect/>
        </a:stretch>
      </xdr:blipFill>
      <xdr:spPr>
        <a:xfrm>
          <a:off x="7675246" y="28575"/>
          <a:ext cx="2575560" cy="10745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1504950</xdr:colOff>
      <xdr:row>5</xdr:row>
      <xdr:rowOff>152400</xdr:rowOff>
    </xdr:to>
    <xdr:pic>
      <xdr:nvPicPr>
        <xdr:cNvPr id="4" name="Picture 4">
          <a:extLst>
            <a:ext uri="{FF2B5EF4-FFF2-40B4-BE49-F238E27FC236}">
              <a16:creationId xmlns:a16="http://schemas.microsoft.com/office/drawing/2014/main" id="{E1826DB3-F0B7-4E7A-B9FB-F4B54A1BC7B7}"/>
            </a:ext>
          </a:extLst>
        </xdr:cNvPr>
        <xdr:cNvPicPr>
          <a:picLocks noChangeAspect="1"/>
        </xdr:cNvPicPr>
      </xdr:nvPicPr>
      <xdr:blipFill>
        <a:blip xmlns:r="http://schemas.openxmlformats.org/officeDocument/2006/relationships" r:embed="rId1"/>
        <a:stretch>
          <a:fillRect/>
        </a:stretch>
      </xdr:blipFill>
      <xdr:spPr>
        <a:xfrm>
          <a:off x="6991350" y="0"/>
          <a:ext cx="2705100" cy="10572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5558791</xdr:colOff>
      <xdr:row>0</xdr:row>
      <xdr:rowOff>0</xdr:rowOff>
    </xdr:from>
    <xdr:to>
      <xdr:col>2</xdr:col>
      <xdr:colOff>1466</xdr:colOff>
      <xdr:row>5</xdr:row>
      <xdr:rowOff>154414</xdr:rowOff>
    </xdr:to>
    <xdr:pic>
      <xdr:nvPicPr>
        <xdr:cNvPr id="3" name="Picture 4">
          <a:extLst>
            <a:ext uri="{FF2B5EF4-FFF2-40B4-BE49-F238E27FC236}">
              <a16:creationId xmlns:a16="http://schemas.microsoft.com/office/drawing/2014/main" id="{3B9A02C1-B003-417D-9DE3-B611A7F091EE}"/>
            </a:ext>
          </a:extLst>
        </xdr:cNvPr>
        <xdr:cNvPicPr>
          <a:picLocks noChangeAspect="1"/>
        </xdr:cNvPicPr>
      </xdr:nvPicPr>
      <xdr:blipFill>
        <a:blip xmlns:r="http://schemas.openxmlformats.org/officeDocument/2006/relationships" r:embed="rId1"/>
        <a:stretch>
          <a:fillRect/>
        </a:stretch>
      </xdr:blipFill>
      <xdr:spPr>
        <a:xfrm>
          <a:off x="6305551" y="0"/>
          <a:ext cx="2560320" cy="106881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17</xdr:col>
      <xdr:colOff>66675</xdr:colOff>
      <xdr:row>7</xdr:row>
      <xdr:rowOff>57150</xdr:rowOff>
    </xdr:from>
    <xdr:to>
      <xdr:col>28</xdr:col>
      <xdr:colOff>333375</xdr:colOff>
      <xdr:row>23</xdr:row>
      <xdr:rowOff>129540</xdr:rowOff>
    </xdr:to>
    <xdr:pic>
      <xdr:nvPicPr>
        <xdr:cNvPr id="2" name="Picture 1">
          <a:extLst>
            <a:ext uri="{FF2B5EF4-FFF2-40B4-BE49-F238E27FC236}">
              <a16:creationId xmlns:a16="http://schemas.microsoft.com/office/drawing/2014/main" id="{67D01095-3CC8-47B7-BD68-C194D5088FBE}"/>
            </a:ext>
            <a:ext uri="{147F2762-F138-4A5C-976F-8EAC2B608ADB}">
              <a16:predDERef xmlns:a16="http://schemas.microsoft.com/office/drawing/2014/main" pred="{2A015FA7-83B8-91B3-6B89-6A16265C1B14}"/>
            </a:ext>
          </a:extLst>
        </xdr:cNvPr>
        <xdr:cNvPicPr>
          <a:picLocks noChangeAspect="1"/>
        </xdr:cNvPicPr>
      </xdr:nvPicPr>
      <xdr:blipFill>
        <a:blip xmlns:r="http://schemas.openxmlformats.org/officeDocument/2006/relationships" r:embed="rId1"/>
        <a:stretch>
          <a:fillRect/>
        </a:stretch>
      </xdr:blipFill>
      <xdr:spPr>
        <a:xfrm>
          <a:off x="12555855" y="1535430"/>
          <a:ext cx="8930640" cy="3036570"/>
        </a:xfrm>
        <a:prstGeom prst="rect">
          <a:avLst/>
        </a:prstGeom>
      </xdr:spPr>
    </xdr:pic>
    <xdr:clientData/>
  </xdr:twoCellAnchor>
  <xdr:twoCellAnchor editAs="oneCell">
    <xdr:from>
      <xdr:col>5</xdr:col>
      <xdr:colOff>308610</xdr:colOff>
      <xdr:row>7</xdr:row>
      <xdr:rowOff>83820</xdr:rowOff>
    </xdr:from>
    <xdr:to>
      <xdr:col>16</xdr:col>
      <xdr:colOff>384810</xdr:colOff>
      <xdr:row>37</xdr:row>
      <xdr:rowOff>41910</xdr:rowOff>
    </xdr:to>
    <xdr:pic>
      <xdr:nvPicPr>
        <xdr:cNvPr id="3" name="Picture 2">
          <a:extLst>
            <a:ext uri="{FF2B5EF4-FFF2-40B4-BE49-F238E27FC236}">
              <a16:creationId xmlns:a16="http://schemas.microsoft.com/office/drawing/2014/main" id="{E657A6CE-D717-41D5-A74B-883981A5FFDA}"/>
            </a:ext>
            <a:ext uri="{147F2762-F138-4A5C-976F-8EAC2B608ADB}">
              <a16:predDERef xmlns:a16="http://schemas.microsoft.com/office/drawing/2014/main" pred="{E7E1B0D3-D513-E541-28DC-50C3E7BA6C05}"/>
            </a:ext>
          </a:extLst>
        </xdr:cNvPr>
        <xdr:cNvPicPr>
          <a:picLocks noChangeAspect="1"/>
        </xdr:cNvPicPr>
      </xdr:nvPicPr>
      <xdr:blipFill>
        <a:blip xmlns:r="http://schemas.openxmlformats.org/officeDocument/2006/relationships" r:embed="rId2"/>
        <a:stretch>
          <a:fillRect/>
        </a:stretch>
      </xdr:blipFill>
      <xdr:spPr>
        <a:xfrm>
          <a:off x="5718810" y="1562100"/>
          <a:ext cx="6766560" cy="548259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567018</xdr:colOff>
      <xdr:row>19</xdr:row>
      <xdr:rowOff>116988</xdr:rowOff>
    </xdr:from>
    <xdr:to>
      <xdr:col>15</xdr:col>
      <xdr:colOff>447334</xdr:colOff>
      <xdr:row>37</xdr:row>
      <xdr:rowOff>52008</xdr:rowOff>
    </xdr:to>
    <xdr:pic>
      <xdr:nvPicPr>
        <xdr:cNvPr id="2" name="Picture 1">
          <a:extLst>
            <a:ext uri="{FF2B5EF4-FFF2-40B4-BE49-F238E27FC236}">
              <a16:creationId xmlns:a16="http://schemas.microsoft.com/office/drawing/2014/main" id="{72882EBF-1C01-4A2F-94A7-86F0C8BC5E3A}"/>
            </a:ext>
          </a:extLst>
        </xdr:cNvPr>
        <xdr:cNvPicPr>
          <a:picLocks noChangeAspect="1"/>
        </xdr:cNvPicPr>
      </xdr:nvPicPr>
      <xdr:blipFill>
        <a:blip xmlns:r="http://schemas.openxmlformats.org/officeDocument/2006/relationships" r:embed="rId1"/>
        <a:stretch>
          <a:fillRect/>
        </a:stretch>
      </xdr:blipFill>
      <xdr:spPr>
        <a:xfrm>
          <a:off x="4864698" y="3835548"/>
          <a:ext cx="7606996" cy="324478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28575</xdr:colOff>
      <xdr:row>2</xdr:row>
      <xdr:rowOff>9525</xdr:rowOff>
    </xdr:from>
    <xdr:to>
      <xdr:col>20</xdr:col>
      <xdr:colOff>571500</xdr:colOff>
      <xdr:row>16</xdr:row>
      <xdr:rowOff>144780</xdr:rowOff>
    </xdr:to>
    <xdr:pic>
      <xdr:nvPicPr>
        <xdr:cNvPr id="2" name="Picture 1">
          <a:extLst>
            <a:ext uri="{FF2B5EF4-FFF2-40B4-BE49-F238E27FC236}">
              <a16:creationId xmlns:a16="http://schemas.microsoft.com/office/drawing/2014/main" id="{B2666C6D-75FE-4422-AAC3-DE17958F9E27}"/>
            </a:ext>
          </a:extLst>
        </xdr:cNvPr>
        <xdr:cNvPicPr>
          <a:picLocks noChangeAspect="1"/>
        </xdr:cNvPicPr>
      </xdr:nvPicPr>
      <xdr:blipFill>
        <a:blip xmlns:r="http://schemas.openxmlformats.org/officeDocument/2006/relationships" r:embed="rId1"/>
        <a:stretch>
          <a:fillRect/>
        </a:stretch>
      </xdr:blipFill>
      <xdr:spPr>
        <a:xfrm>
          <a:off x="4257675" y="375285"/>
          <a:ext cx="9686925" cy="291655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inaa.sharepoint.com/GREENGROCER/Company/My%20Documents/Tools/Adilisha/Final%20edit%20Apr02/April02/Excel%20tables%20updated%20Apr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binaa.sharepoint.com/Users/Nihan%20Karagul/Box%20Sync/CCCM/02_ISIMM/2018_ISIMM/201806_June/2018_CCCM%20Cluster_%20ISIMM_June_Draft.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tlewis/Dropbox/ES6e%20Moodle%20design/Existing%20materials%20for%20reference/Legacy%20budgeting%20masters%20updated%20Feb%202015.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tlewis/Dropbox/1%20TL%20only/Elearning/ES6e%20Moodle%20design/2.%20Resources/Resources%20master%20text/ES6e%20budget%20templates.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tlewis/Dropbox/ES6e%20Moodle%20design/Existing%20materials%20for%20reference/FM5%20case%20study%20tables%20201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zofia.baczynska/AppData/Roaming/Microsoft/Excel/CA_2015_07%20(version%201).xlsb"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mottmac.sharepoint.com/personal/jacky_tsang_mottmac_com/Documents/Desktop/Jacky/STT/STT_Gate%202%20-%20Option%20Selection%20-%20Pipeline%20-%20Pipe%20and%20PS%20sizing%20-%20Copy.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177D2792\14062011_maciek_wydatki_majowe.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User/AppData/Local/Temp/Temp1_Rozzal_Sudan_USD_ver1%203%205_TR.zip/Kopia%20Przep&#322;ywy_sudan_ver1.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pah.sharepoint.com/Users/goal%20niger/Desktop/GOAL%202012/Budget%202012/GOAL_Accounts%20Dept/Accounts%20A-C/BUDGETS/Budget%2003/OFDA%20Conflict%20affected%20populations%20(May%2003)%20V5%20for%20sub%20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tlewis/AppData/Roaming/Microsoft/Excel/Case%20study/HSC%20tabl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AH/Downloads/FINANCE_FILES/Finance_2015_Files/Rozzals_2015/2_CHECKED_Version_February_2015_Rozzal.%20FINAL.ML.02.04.2015.xlsm"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V:\Witton\Technical\Upper%20Res\1%201000\Lower%20Reservoir%20stage%20storage.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binaa-my.sharepoint.com/Users/AmjadAlsun-Binaa/Desktop/New%20folder%20(5)/Salary%20Scale%202021%20-Final_Adopted.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Zbiory_LC/Misje/Aktualne_misje_kraje/Sudan/Sudan_poludniowy/ksiegowo-finansowe/RMK/04_UBEZPIECZENIA_STAFF/LOCAL%20STAFF/UAP_SETTELMENT_2015_10.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A7835F07\ROZZAL%20v201406%20v3%20AS.ML.xlsm"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latek/AppData/Local/Microsoft/Windows/Temporary%20Internet%20Files/Content.Outlook/APST00OX/Users/mateusz.zawada/AppData/Roaming/Microsoft/Excel/ROZZAL%20v20141130.AG.%20xlsm.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KAROLI~1.PUC/AppData/Local/Temp/Archiwum/Financial%20Reporting_GOALBakeries2.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PC1/Desktop/August%20Rozzal/August%20Rozzal/July/Initial_Version_July_Rozzal.xlsm"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Users/PC1/AppData/Roaming/Skype/My%20Skype%20Received%20Files/10.2.3.02.FEB-2016-Payroll%20-%20-%20Copy%20-%20Copy%20(2).xlsm"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Users/PAH/AppData/Local/Microsoft/Windows/Temporary%20Internet%20Files/Content.Outlook/D3MT1A6O/ALLOCATION_October_2015%2011%2003_ZP_ZB.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Zbiory_LC/Misje/Aktualne_misje_kraje/Sudan/Sudan_poludniowy/ksiegowo-finansowe/ROZZAL/2016/Kopia%20Rozzal%2003%202016%20UH%20KK-Revised.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Q:\USB%20HD\REFERENCES\SPREADSHEETS\STANDARD_CALCS\HYD%20-%20HYDRAULIC\SERIES%20000%20-%20ENERGY%20DISSIPATORS\EVT-HYES-HYD-002%20-%20USBR%20Stilling%20Basin\Hydraulic%20Jump%20-%20RC%20v.%202.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B:\Zbiory_LC\Misje\Aktualne_misje_kraje\Syria\financial\05_rozzal_and_cash_reports\2014-08-31\Rozzal%20August%202014.%20FINAL%20version.ML.2.xlsm"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Users/PC1/Desktop/NCA_NEW/NCA_Copy%20of%2010-00004-16%20160616%20-%20Project%20budget%20template%201%20year%20470923_39_0.xlsm"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ttps://binaa.sharepoint.com/GREENGROCER/Company/Training/Training%20programme/Course%20materials/FM1/FM1%20support%20materials/Archive/Old%20FM1%20tables.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Users/a_mog/Google%20Drive/01.WASH/03.WASH_PLANNED/NCA_2017_Planned_01.07.2017-30.06.2018/Operation%20Budget.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Users/latek/AppData/Local/Microsoft/Windows/Temporary%20Internet%20Files/Content.Outlook/APST00OX/FINANCIAL%20DOCUMENTS%202014-2015/06_2015_Cost_Allocation_TIMESHEETS_final.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Users/KAROLI~1.PUC/AppData/Local/Temp/Financial_Reporting_GOALF2.xlsm"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pah.sharepoint.com/Users/PC1/SharePoint/Mission-Syria%20-%20HR/Mission-Syria%20-%20HR/10.Pay-roll/10.2.Syria.Office/10.2.2.Payroll.2015/10.2.2.8.August-2015-Payroll.xlsm"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Users/tlewis/AppData/Roaming/Microsoft/Excel/Day%202/Acorns%20cashflow.ex.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Users/tlewis/AppData/Roaming/Microsoft/Excel/Keeping%20accts%20alternative/Cash%20accounting.ex.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s://binaa.sharepoint.com/Users/NooNTeK/Downloads/ECW%20february%204w%20-%20Takaful&amp;%20Viole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Zbiory_LC/Misje/Aktualne_misje_kraje/Sudan/Sudan_poludniowy/ksiegowo-finansowe/ROZZAL/2015/2015_12/Rozzal%2012%202015%20UH_KK_ML_FINAL.%20ML.08.02.2016.xlsm"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Users/PAH/AppData/Local/Microsoft/Windows/Temporary%20Internet%20Files/Content.Outlook/NVZ84LMK/February%20Rozzal.xlsm"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https://binaa.sharepoint.com/GREENGROCER/Company/My%20Documents/Training/Materials/FM1/Exercises/FM1%20tables%20Oct02.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https://binaa.sharepoint.com/GREENGROCER/Company/Documents%20and%20Settings/tlewis/My%20Documents/Training%20events/Adilisha/case%20study/FM%20Legacy%20case%20study%20master.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Users/tlewis/AppData/Roaming/Microsoft/Excel/Day%202/Apportionment%20ex.results.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https://binaa.sharepoint.com/GREENGROCER/Company/My%20Documents/Training/Materials/FM2/Tools/Adilisha/Final%20edit%20Apr02/AJ%20draft%203%20Adilisha%2018Apr02/FM%20Legacy%20case%20study%20master.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B:\ROZZALS\Final%20October%20Rozzal\Final%20version%20printed%20March%20Rozzal%20with%20macro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PC1/Desktop/August_Rozzal/For_Use_Allocation_July_Rozza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mottmac.sharepoint.com/teams/pj-g3305/do/Develop/06%20Design/01%20Culverts/04%20Structural%20Check/Culvert%20Structural%20Check.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pah.sharepoint.com/Misja_Syria/HR/Mission-Syria%20-%20HR/10.Pay-roll/10.2.Syria.Office/10.2.2.Payroll.2015/tempp/G-Payroll-spreadhshee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binaa.sharepoint.com/Users/Nihan%20Karagul/Desktop/Copy%20of%20C04_Protection_4Ws_2018_Compliation_template_April2018_CCCM.xlsx" TargetMode="External"/></Relationships>
</file>

<file path=xl/externalLinks/_rels/externalLink9.xml.rels><?xml version="1.0" encoding="UTF-8" standalone="yes"?>
<Relationships xmlns="http://schemas.openxmlformats.org/package/2006/relationships"><Relationship Id="rId2" Type="http://schemas.openxmlformats.org/officeDocument/2006/relationships/externalLinkPath" Target="file:///C:\Users\walshaaban\Desktop\Wafaa's%20Work\Technical%20Package\Appendix%20F%20-%20Cost%20Estimate.xlsx" TargetMode="External"/><Relationship Id="rId1" Type="http://schemas.openxmlformats.org/officeDocument/2006/relationships/externalLinkPath" Target="/Users/walshaaban/Desktop/Wafaa's%20Work/Technical%20Package/Appendix%20F%20-%20Cost%20Estim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B1"/>
      <sheetName val="BB2"/>
      <sheetName val="BB3"/>
      <sheetName val="PC1"/>
      <sheetName val="PC2"/>
      <sheetName val="COA1"/>
      <sheetName val="RP1"/>
      <sheetName val="IE1"/>
      <sheetName val="Vehicle Log Sheet"/>
      <sheetName val="Budget 1"/>
      <sheetName val="Budget 2"/>
      <sheetName val="Bad budget"/>
      <sheetName val="Budget 3"/>
      <sheetName val="Budget 4"/>
      <sheetName val="Activity 3.4 "/>
      <sheetName val="Activity 3.4 Answer"/>
      <sheetName val="BM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SIMM"/>
      <sheetName val="Atmeh Cluster Camps"/>
      <sheetName val="Inactive Sites"/>
      <sheetName val="Pivot"/>
      <sheetName val="Monthly_Tracked"/>
      <sheetName val="Unique_IDPs"/>
      <sheetName val="Assisted_IDPs"/>
      <sheetName val="Admin"/>
      <sheetName val="Dropdown"/>
      <sheetName val="Atmeh_Cluster_Camps"/>
      <sheetName val="Inactive_Site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art of Accounts"/>
      <sheetName val="Blank budget worksheet"/>
      <sheetName val="LAS worksheet EX."/>
      <sheetName val="LAS worksheet with  codes "/>
      <sheetName val="LAS budget  COMPLETED"/>
      <sheetName val="Summary budget COMPLETED"/>
      <sheetName val="Donor budget ex"/>
      <sheetName val="Donor budget COMPLETED"/>
      <sheetName val="LAS Consolidated"/>
      <sheetName val="Phased Budget COMPLETED"/>
      <sheetName val="Phased budget CALCS"/>
      <sheetName val="Cashflow WB"/>
      <sheetName val="Cashflow.answer with notes"/>
      <sheetName val="Cashflow.answer"/>
      <sheetName val="All Legacy Cashflow"/>
      <sheetName val="Funding Grid"/>
      <sheetName val="Cashflow.blank"/>
      <sheetName val="ROP ABB completed "/>
      <sheetName val="ROP ABB blank"/>
      <sheetName val="Contribution tab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ample budget worksheet"/>
      <sheetName val="Budget worksheet intro lesson "/>
      <sheetName val="Chart of accounts"/>
      <sheetName val="WS with codes notes"/>
      <sheetName val="WS worked example completed "/>
      <sheetName val="Summary budget "/>
      <sheetName val="WS with phased workings"/>
      <sheetName val="WS with phased budget ALL"/>
      <sheetName val="Phased summary"/>
      <sheetName val="WS with cashflow workings"/>
      <sheetName val="summary cashflow v1"/>
      <sheetName val="Worked example x "/>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A original"/>
      <sheetName val="Chart of Accounts v2 (revised)"/>
      <sheetName val="ROP ABB framework A"/>
      <sheetName val="ROP ABB framework B"/>
      <sheetName val="ROP ABB framework C"/>
      <sheetName val="ROP ABB framework D"/>
      <sheetName val="ROP ABB framework E"/>
      <sheetName val="Price List"/>
      <sheetName val="ROP ABB completed 2010"/>
      <sheetName val="Phased budget by line BLANKS"/>
      <sheetName val="Phased budget by line"/>
      <sheetName val="ROP ABB coding activity "/>
      <sheetName val="ROP ABB all coding completed  "/>
      <sheetName val="Consolidated budget with ROP"/>
      <sheetName val="ROP donor code mapping"/>
      <sheetName val="Humour Aid budget (blank)"/>
      <sheetName val="Humour Aid budget (completed)"/>
      <sheetName val="funding decision wsht ex"/>
      <sheetName val="funding decision worksheet ans"/>
      <sheetName val="Grant Schedule completed"/>
      <sheetName val="Grant Schedule 6 Month In Ans"/>
      <sheetName val="Grant Schedule 6 Month Ex"/>
      <sheetName val="Core costs calc"/>
      <sheetName val="Summary budget reserves ex"/>
      <sheetName val="Legacy Funding mix table"/>
      <sheetName val="Income schedule  calc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mesheets"/>
      <sheetName val="register_exp"/>
      <sheetName val="CoAC"/>
      <sheetName val="cover_sheet"/>
      <sheetName val="dictionary"/>
    </sheetNames>
    <sheetDataSet>
      <sheetData sheetId="0"/>
      <sheetData sheetId="1"/>
      <sheetData sheetId="2"/>
      <sheetData sheetId="3"/>
      <sheetData sheetId="4"/>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Introduction"/>
      <sheetName val="Template Settings"/>
      <sheetName val="Sheet1"/>
      <sheetName val="Pipe sizing"/>
      <sheetName val="Settings"/>
    </sheetNames>
    <sheetDataSet>
      <sheetData sheetId="0"/>
      <sheetData sheetId="1" refreshError="1"/>
      <sheetData sheetId="2">
        <row r="18">
          <cell r="B18" t="str">
            <v>Divisions</v>
          </cell>
        </row>
        <row r="19">
          <cell r="B19" t="str">
            <v>WCD/WAM</v>
          </cell>
        </row>
        <row r="20">
          <cell r="B20" t="str">
            <v>WCD/NWC</v>
          </cell>
        </row>
        <row r="21">
          <cell r="B21" t="str">
            <v>WCD/CWC</v>
          </cell>
        </row>
        <row r="22">
          <cell r="B22" t="str">
            <v>WCD/SWC</v>
          </cell>
        </row>
        <row r="23">
          <cell r="B23" t="str">
            <v>MMB/NMB</v>
          </cell>
        </row>
        <row r="24">
          <cell r="B24" t="str">
            <v>MMB/CMB</v>
          </cell>
        </row>
        <row r="25">
          <cell r="B25" t="str">
            <v>MMB/SMB</v>
          </cell>
        </row>
        <row r="26">
          <cell r="B26" t="str">
            <v>EVT/EMP</v>
          </cell>
        </row>
        <row r="40">
          <cell r="B40" t="str">
            <v>MM Logos</v>
          </cell>
        </row>
        <row r="42">
          <cell r="B42" t="str">
            <v>MM</v>
          </cell>
        </row>
        <row r="43">
          <cell r="B43" t="str">
            <v>MMB</v>
          </cell>
        </row>
        <row r="44">
          <cell r="B44" t="str">
            <v>GBM</v>
          </cell>
        </row>
      </sheetData>
      <sheetData sheetId="3" refreshError="1"/>
      <sheetData sheetId="4" refreshError="1"/>
      <sheetData sheetId="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_b_01"/>
      <sheetName val="k_b_02"/>
      <sheetName val="k_b_03"/>
      <sheetName val="doc_k_b_03"/>
      <sheetName val="k_b_04"/>
      <sheetName val="doc_k_b_04"/>
      <sheetName val="Nowe linie budżetowe"/>
      <sheetName val="definicje"/>
      <sheetName val="k_b_05"/>
      <sheetName val="k_b_06"/>
      <sheetName val="k_b_07"/>
      <sheetName val="k_b_08"/>
      <sheetName val="k_b_09"/>
      <sheetName val="k_b_10"/>
      <sheetName val="k_b_11"/>
      <sheetName val="k_b_12"/>
      <sheetName val="doc_k_b_01"/>
      <sheetName val="doc_k_b_02"/>
      <sheetName val="doc_k_b_05"/>
      <sheetName val="doc_k_b_06"/>
      <sheetName val="doc_k_b_07"/>
      <sheetName val="doc_k_b_08"/>
      <sheetName val="doc_k_b_09"/>
      <sheetName val="doc_k_b_10"/>
      <sheetName val="doc_k_b_11"/>
      <sheetName val="doc_k_b_12"/>
      <sheetName val="Eksport"/>
      <sheetName val="Descrip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jekty"/>
      <sheetName val="Realizacja budżet ogólne"/>
      <sheetName val="realizacja-Woda-BS1"/>
      <sheetName val="FAO - D1"/>
      <sheetName val="FAO - D1  - PAH wklad wlasny"/>
      <sheetName val="realizacja FAO - ZP1"/>
      <sheetName val="realizacja FAO -ZP1 -PAH wlasny"/>
      <sheetName val="MSZ - BS2"/>
      <sheetName val="MSZ - BS2 - PAH wkład własny"/>
      <sheetName val="MSZ rol1"/>
      <sheetName val="MSZ rol1 - PAH wkład własny"/>
      <sheetName val="wydatki Centrali"/>
      <sheetName val="wydatki 1-12"/>
      <sheetName val="k_b_01"/>
      <sheetName val="k_b_02"/>
      <sheetName val="k_b_03"/>
      <sheetName val="k_b_04"/>
      <sheetName val="k_b_05"/>
      <sheetName val="k_b_06"/>
      <sheetName val="k_b_07"/>
      <sheetName val="k_b_08"/>
      <sheetName val="k_b_09"/>
      <sheetName val="k_b_10"/>
      <sheetName val="k_b_11"/>
      <sheetName val="k_b_12"/>
      <sheetName val="k_b_1-12"/>
      <sheetName val="doc_k_b_01"/>
      <sheetName val="doc_k_b_02"/>
      <sheetName val="doc_k_b_03"/>
      <sheetName val="doc_k_b_04"/>
      <sheetName val="doc_k_b_05"/>
      <sheetName val="doc_k_b_06"/>
      <sheetName val="doc_k_b_07"/>
      <sheetName val="doc_k_b_08"/>
      <sheetName val="doc_k_b_09"/>
      <sheetName val="doc_k_b_10"/>
      <sheetName val="doc_k_b_11"/>
      <sheetName val="doc_k_b_12"/>
      <sheetName val="zaliczki lokalne waluta 1"/>
      <sheetName val="zaliczki lokalne waluta 2"/>
      <sheetName val="zaliczki lokalne waluta 3"/>
      <sheetName val="struktura konta dane"/>
      <sheetName val="linie budżetowe"/>
      <sheetName val="koszty"/>
      <sheetName val="oddziały"/>
      <sheetName val="projekty_misje"/>
      <sheetName val="zródła_finansowania"/>
      <sheetName val="pozycje budzetowe"/>
      <sheetName val="definicj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dget OFDA"/>
      <sheetName val="Indirect Cost Budget"/>
      <sheetName val="Budget_OFDA"/>
      <sheetName val="Indirect_Cost_Budget"/>
      <sheetName val="Budget_OFDA1"/>
      <sheetName val="Indirect_Cost_Budget1"/>
    </sheetNames>
    <sheetDataSet>
      <sheetData sheetId="0"/>
      <sheetData sheetId="1"/>
      <sheetData sheetId="2"/>
      <sheetData sheetId="3"/>
      <sheetData sheetId="4"/>
      <sheetData sheetId="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SC project budget"/>
      <sheetName val="HSC budget rpt"/>
      <sheetName val="HSC Balance sht"/>
      <sheetName val="HSC I&amp;E"/>
      <sheetName val="HSC Balance sht (2)"/>
      <sheetName val="HSC I&amp;E (2)"/>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eer&amp;Instruction"/>
      <sheetName val="Month"/>
      <sheetName val="advance"/>
      <sheetName val="advance Yousuf"/>
      <sheetName val="Advances log 2015"/>
      <sheetName val="Syria_office_advance_Log_2014"/>
      <sheetName val="Exchange rates"/>
      <sheetName val="makro"/>
      <sheetName val="Bank&amp;Cash"/>
      <sheetName val="pivot"/>
      <sheetName val="Description"/>
      <sheetName val="MCR"/>
      <sheetName val="ex_rate"/>
      <sheetName val="Data_Sources"/>
      <sheetName val="Notes"/>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Constants"/>
      <sheetName val="Sheet3"/>
    </sheetNames>
    <sheetDataSet>
      <sheetData sheetId="0"/>
      <sheetData sheetId="1" refreshError="1">
        <row r="2">
          <cell r="C2">
            <v>0</v>
          </cell>
        </row>
        <row r="3">
          <cell r="C3">
            <v>49750</v>
          </cell>
        </row>
        <row r="4">
          <cell r="D4">
            <v>2</v>
          </cell>
        </row>
        <row r="6">
          <cell r="C6">
            <v>0.5</v>
          </cell>
        </row>
        <row r="7">
          <cell r="C7">
            <v>250</v>
          </cell>
        </row>
        <row r="8">
          <cell r="C8">
            <v>199</v>
          </cell>
        </row>
      </sheetData>
      <sheetData sheetId="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alary scale"/>
      <sheetName val="New salary scale"/>
      <sheetName val="Positioning staff on new ss"/>
      <sheetName val="staff startiing date"/>
      <sheetName val="Positioning staff on new ss AA"/>
      <sheetName val="Salary scale Final"/>
      <sheetName val="Salary scale Final (2)"/>
      <sheetName val="Salary scale Final (3)"/>
      <sheetName val="Sheet4"/>
      <sheetName val="Salary scale Final (4)"/>
      <sheetName val="Sheet1"/>
      <sheetName val="Positioning staff on new ss (2)"/>
      <sheetName val="Sheet2"/>
      <sheetName val="New Staff Position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UAP SETTELMENT"/>
      <sheetName val="DESCRIPT.1 Personnel sharing"/>
      <sheetName val="Arkusz1"/>
    </sheetNames>
    <sheetDataSet>
      <sheetData sheetId="0"/>
      <sheetData sheetId="1"/>
      <sheetData sheetId="2"/>
      <sheetData sheetId="3"/>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eer&amp;Instruction"/>
      <sheetName val="Month"/>
      <sheetName val="Kurs uśredniony"/>
      <sheetName val="Zaliczki"/>
      <sheetName val="makro"/>
      <sheetName val="Bank&amp;Cash"/>
      <sheetName val="Exchange rates"/>
      <sheetName val="Description"/>
      <sheetName val="Emergency money"/>
      <sheetName val="Inwentaryzacja"/>
      <sheetName val="Umowy czerwiec"/>
      <sheetName val="LIsta płac za czerwiec 2014"/>
      <sheetName val="definicje"/>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eer&amp;Instruction"/>
      <sheetName val="Lista płac"/>
      <sheetName val="Exchange rates"/>
      <sheetName val="Month"/>
      <sheetName val="makro"/>
      <sheetName val="Kurs uśredniony"/>
      <sheetName val="Advance emergency new file"/>
      <sheetName val="advance new file"/>
      <sheetName val="Bank&amp;Cash"/>
      <sheetName val="Umowy listopad"/>
      <sheetName val="Wynagr.alokacja kosztów XI"/>
      <sheetName val="Description"/>
      <sheetName val="Rachunki płatne z kasy"/>
      <sheetName val="mapping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nancial Reporting"/>
      <sheetName val="Transaction_Listing"/>
      <sheetName val="exchange rate"/>
      <sheetName val="Załacznik 2"/>
      <sheetName val="pomocniczy"/>
      <sheetName val="NBP"/>
      <sheetName val="do raportu"/>
      <sheetName val="k_500"/>
      <sheetName val="indirect"/>
      <sheetName val="Dropdown"/>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eer&amp;Instruction"/>
      <sheetName val="Month"/>
      <sheetName val="Turkey_Office_Advance new file "/>
      <sheetName val="Syria_office_advance_Log_2014"/>
      <sheetName val="Syria advance"/>
      <sheetName val="Exchange rates"/>
      <sheetName val="makro"/>
      <sheetName val="Bank&amp;Cash"/>
      <sheetName val="pivot"/>
      <sheetName val="Description"/>
      <sheetName val="ex_rate"/>
      <sheetName val="MCR_Pivot_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int payslips"/>
      <sheetName val="dictionary"/>
      <sheetName val="Payroll"/>
      <sheetName val="Sheet1"/>
      <sheetName val="Sheet2"/>
    </sheetNames>
    <sheetDataSet>
      <sheetData sheetId="0"/>
      <sheetData sheetId="1"/>
      <sheetData sheetId="2"/>
      <sheetData sheetId="3"/>
      <sheetData sheetId="4"/>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orktime division"/>
      <sheetName val="total division %"/>
      <sheetName val="DESCRIPTION1"/>
      <sheetName val="DESCRIPTION2"/>
      <sheetName val="data"/>
    </sheetNames>
    <sheetDataSet>
      <sheetData sheetId="0"/>
      <sheetData sheetId="1"/>
      <sheetData sheetId="2"/>
      <sheetData sheetId="3"/>
      <sheetData sheetId="4"/>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cription"/>
      <sheetName val="Steer&amp;Instruction"/>
      <sheetName val="Makro"/>
      <sheetName val="Allocation"/>
      <sheetName val="Allowances splitter"/>
      <sheetName val="Salary List"/>
      <sheetName val="Bank&amp;Cash"/>
      <sheetName val="Month"/>
      <sheetName val="Exchange rates"/>
      <sheetName val="Kurs uśredniony"/>
      <sheetName val="Kurs bankowy uśredniony"/>
      <sheetName val="Advance "/>
      <sheetName val="Advance Emmergenc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riables"/>
      <sheetName val="Run"/>
      <sheetName val="Calculation"/>
      <sheetName val="Jump Lookup"/>
      <sheetName val="Audit - Model"/>
    </sheetNames>
    <sheetDataSet>
      <sheetData sheetId="0" refreshError="1">
        <row r="15">
          <cell r="F15">
            <v>34.747622531089974</v>
          </cell>
        </row>
        <row r="19">
          <cell r="F19">
            <v>100</v>
          </cell>
        </row>
        <row r="20">
          <cell r="F20">
            <v>9.81</v>
          </cell>
        </row>
        <row r="24">
          <cell r="F24">
            <v>30</v>
          </cell>
        </row>
        <row r="25">
          <cell r="F25">
            <v>0.2</v>
          </cell>
        </row>
        <row r="29">
          <cell r="F29">
            <v>0.1</v>
          </cell>
        </row>
      </sheetData>
      <sheetData sheetId="1" refreshError="1"/>
      <sheetData sheetId="2" refreshError="1"/>
      <sheetData sheetId="3" refreshError="1"/>
      <sheetData sheetId="4"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eer&amp;Instruction"/>
      <sheetName val="Month"/>
      <sheetName val="makro"/>
      <sheetName val="Advance"/>
      <sheetName val="Advance Yousef Rahmoun"/>
      <sheetName val="Exchange rates"/>
      <sheetName val="Bank&amp;Cash"/>
      <sheetName val="OB Transfer"/>
      <sheetName val="Description"/>
      <sheetName val="exchange_rate_Ola"/>
      <sheetName val="ex_r_SCI Wash_NCA"/>
      <sheetName val="Bank -  Cash transfers"/>
      <sheetName val="Syria advance trac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sheetName val="DropDownValues"/>
      <sheetName val="Application summary"/>
      <sheetName val="1 - Outcome level"/>
      <sheetName val="2 - Output level"/>
      <sheetName val="3 - Activity level"/>
      <sheetName val="Explanatory notes"/>
      <sheetName val="REVISED Application summary"/>
      <sheetName val="REVISED 1 - Outcome level"/>
      <sheetName val="REVISED 2 - Output level"/>
      <sheetName val="REVISED 3 - Activity level"/>
      <sheetName val="NCA_Copy of 10-00004-16 160616 "/>
    </sheetNames>
    <sheetDataSet>
      <sheetData sheetId="0"/>
      <sheetData sheetId="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gacy Consolidated"/>
      <sheetName val="LAS Budget Worksheet"/>
    </sheetNames>
    <sheetDataSet>
      <sheetData sheetId="0"/>
      <sheetData sheetId="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sheetName val="Operation Budget"/>
      <sheetName val="BOQ_Monthly_Basis"/>
      <sheetName val="Sheet1"/>
    </sheetNames>
    <sheetDataSet>
      <sheetData sheetId="0"/>
      <sheetData sheetId="1"/>
      <sheetData sheetId="2"/>
      <sheetData sheetId="3"/>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mesheets"/>
      <sheetName val="dictionary"/>
      <sheetName val="roboczy do usunięcia"/>
    </sheetNames>
    <sheetDataSet>
      <sheetData sheetId="0" refreshError="1"/>
      <sheetData sheetId="1"/>
      <sheetData sheetId="2"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IS Szablonu"/>
      <sheetName val="Financial Reporting"/>
      <sheetName val="Transaction_Listing"/>
      <sheetName val="exchange rate_A"/>
      <sheetName val="exchange rate_B"/>
      <sheetName val="Print cover sheet"/>
      <sheetName val="total"/>
      <sheetName val="2015-12-21"/>
      <sheetName val="do raportu"/>
      <sheetName val="pivot_zest_wyd"/>
      <sheetName val="rozl_z_misja"/>
      <sheetName val="Załacznik 3"/>
      <sheetName val="pomocniczy"/>
      <sheetName val="procedura przelewowa"/>
      <sheetName val="k_500"/>
      <sheetName val="indirect"/>
      <sheetName val="Waluty_A"/>
      <sheetName val="Waluty_B"/>
      <sheetName val="Dir"/>
      <sheetName val="Arkusz2"/>
      <sheetName val="MCA"/>
      <sheetName val="exchange rate"/>
      <sheetName val="ex_rate_SYP"/>
      <sheetName val="pivot_weryfikacja"/>
      <sheetName val="Walut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yroll"/>
      <sheetName val="Print payslips"/>
      <sheetName val="dictionary"/>
    </sheetNames>
    <sheetDataSet>
      <sheetData sheetId="0" refreshError="1"/>
      <sheetData sheetId="1" refreshError="1"/>
      <sheetData sheetId="2"/>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shflow completed"/>
      <sheetName val="Acorns blank cashflow"/>
    </sheetNames>
    <sheetDataSet>
      <sheetData sheetId="0"/>
      <sheetData sheetId="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C Book exercise"/>
      <sheetName val="PC Book answer"/>
      <sheetName val="Bankbook ex"/>
      <sheetName val="Bankbook completed"/>
      <sheetName val="R&amp;P"/>
    </sheetNames>
    <sheetDataSet>
      <sheetData sheetId="0"/>
      <sheetData sheetId="1"/>
      <sheetData sheetId="2"/>
      <sheetData sheetId="3"/>
      <sheetData sheetId="4"/>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ANUARY 2018"/>
      <sheetName val="WHO"/>
      <sheetName val="WHAT 2018 activities"/>
      <sheetName val="WHEN"/>
      <sheetName val="WHERE"/>
      <sheetName val="ECW february 4w - Takaful&amp; Viol"/>
    </sheetNames>
    <sheetDataSet>
      <sheetData sheetId="0"/>
      <sheetData sheetId="1"/>
      <sheetData sheetId="2"/>
      <sheetData sheetId="3"/>
      <sheetData sheetId="4"/>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eer&amp;Instruction"/>
      <sheetName val="Makro"/>
      <sheetName val="Description"/>
      <sheetName val="Allocation"/>
      <sheetName val="Salary List"/>
      <sheetName val="allowance&amp;overtime"/>
      <sheetName val="Month"/>
      <sheetName val="Bank&amp;Cash"/>
      <sheetName val="December Advance "/>
      <sheetName val="Advance Emmergency"/>
      <sheetName val="Exchange rates"/>
      <sheetName val="Kurs uśredniony"/>
      <sheetName val="Kurs bankowy uśrednion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eer&amp;Instruction"/>
      <sheetName val="Month"/>
      <sheetName val="makro"/>
      <sheetName val="Exchange rates"/>
      <sheetName val="Bank&amp;Cash"/>
      <sheetName val="pivot"/>
      <sheetName val="Description"/>
      <sheetName val="MCR"/>
      <sheetName val="Syria office advance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art of Accounts"/>
      <sheetName val="Bad budget eg"/>
      <sheetName val="Good budget eg"/>
      <sheetName val=" LAS Budget worksheet blank"/>
      <sheetName val=" LAS Project Budget"/>
      <sheetName val="Cons. budget Legacy"/>
      <sheetName val="Completed BHC Budget"/>
      <sheetName val="Cashflow ex."/>
      <sheetName val="Cashflow answer"/>
      <sheetName val="PC Book exercise"/>
      <sheetName val="PC Book answer"/>
      <sheetName val="Bankbook"/>
      <sheetName val="Bank rec figs"/>
      <sheetName val="Apportion results"/>
      <sheetName val="Budget Mon Blank"/>
      <sheetName val="Budget Mon complete"/>
      <sheetName val="Forecast ex."/>
    </sheetNames>
    <sheetDataSet>
      <sheetData sheetId="0" refreshError="1"/>
      <sheetData sheetId="1" refreshError="1"/>
      <sheetData sheetId="2" refreshError="1"/>
      <sheetData sheetId="3" refreshError="1"/>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COA"/>
      <sheetName val="LAS"/>
      <sheetName val="GAT"/>
      <sheetName val="Cons"/>
      <sheetName val="CS"/>
      <sheetName val="Consolidated budget"/>
      <sheetName val="Apportioned budget"/>
      <sheetName val="Income budget"/>
      <sheetName val="Cashflow Structure"/>
      <sheetName val="Cashflow - Complete"/>
      <sheetName val="USAID Budget"/>
      <sheetName val="BHC Budget"/>
      <sheetName val="Funding grid"/>
      <sheetName val="CB1 (2)"/>
      <sheetName val="CB1"/>
      <sheetName val="CB2"/>
      <sheetName val="CB3"/>
      <sheetName val="PC1"/>
      <sheetName val="PC2"/>
      <sheetName val="RP1"/>
      <sheetName val="IE1"/>
      <sheetName val="Actuals work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ortion results2"/>
    </sheetNames>
    <sheetDataSet>
      <sheetData sheetId="0"/>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COA"/>
      <sheetName val="LAS"/>
      <sheetName val="GAT"/>
      <sheetName val="Cons"/>
      <sheetName val="CS"/>
      <sheetName val="Consolidated budget"/>
      <sheetName val="Apportioned budget"/>
      <sheetName val="Income budget"/>
      <sheetName val="Cashflow Structure"/>
      <sheetName val="Cashflow - Complete"/>
      <sheetName val="USAID Budget"/>
      <sheetName val="BHC Budget"/>
      <sheetName val="Funding grid"/>
      <sheetName val="CB1 (2)"/>
      <sheetName val="CB1"/>
      <sheetName val="CB2"/>
      <sheetName val="CB3"/>
      <sheetName val="PC1"/>
      <sheetName val="PC2"/>
      <sheetName val="RP1"/>
      <sheetName val="IE1"/>
      <sheetName val="Actuals work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eer&amp;Instruction"/>
      <sheetName val="Month"/>
      <sheetName val="Advance"/>
      <sheetName val="makro"/>
      <sheetName val="Exchange rates"/>
      <sheetName val="Bank&amp;Cash"/>
      <sheetName val="Description"/>
      <sheetName val="ex_r_SCII_GOAL_SCIFOOD"/>
      <sheetName val="ex_r_SCI Wash_NCA"/>
    </sheetNames>
    <sheetDataSet>
      <sheetData sheetId="0"/>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min staff hours calculations"/>
      <sheetName val="Locations"/>
      <sheetName val="SupportingData"/>
      <sheetName val="AllocationSplitter"/>
      <sheetName val="Rozzal"/>
      <sheetName val="Data"/>
    </sheetNames>
    <sheetDataSet>
      <sheetData sheetId="0"/>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Notes"/>
      <sheetName val="Loading"/>
      <sheetName val="Moments"/>
      <sheetName val="ULS Capacity"/>
      <sheetName val="SLS Capacity"/>
      <sheetName val="Thermal Check"/>
    </sheetNames>
    <sheetDataSet>
      <sheetData sheetId="0"/>
      <sheetData sheetId="1" refreshError="1"/>
      <sheetData sheetId="2" refreshError="1"/>
      <sheetData sheetId="3" refreshError="1"/>
      <sheetData sheetId="4">
        <row r="26">
          <cell r="K26">
            <v>2094.3951023931954</v>
          </cell>
        </row>
        <row r="33">
          <cell r="K33">
            <v>500</v>
          </cell>
        </row>
      </sheetData>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Bands"/>
      <sheetName val="Payroll"/>
      <sheetName val="Journal"/>
    </sheetNames>
    <sheetDataSet>
      <sheetData sheetId="0"/>
      <sheetData sheetId="1"/>
      <sheetData sheetId="2"/>
      <sheetData sheetId="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4Ws - Data entry sheet"/>
      <sheetName val="b.Contactdetails"/>
      <sheetName val="c.Instructions"/>
      <sheetName val="d.Fielddescription"/>
      <sheetName val="e.2018Activities"/>
      <sheetName val="f.Admin"/>
      <sheetName val="g.OtherDropdowns"/>
      <sheetName val="Copy of C04_Protection_4Ws_2018"/>
      <sheetName val="Dropdown"/>
      <sheetName val="Sheet1"/>
      <sheetName val="a_4Ws_-_Data_entry_sheet"/>
      <sheetName val="b_Contactdetails"/>
      <sheetName val="c_Instructions"/>
      <sheetName val="d_Fielddescription"/>
      <sheetName val="e_2018Activities"/>
      <sheetName val="f_Admin"/>
      <sheetName val="g_OtherDropdowns"/>
      <sheetName val="Copy_of_C04_Protection_4Ws_2018"/>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sheetData sheetId="11"/>
      <sheetData sheetId="12"/>
      <sheetData sheetId="13"/>
      <sheetData sheetId="14"/>
      <sheetData sheetId="15"/>
      <sheetData sheetId="16"/>
      <sheetData sheetId="1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ver Sheet"/>
      <sheetName val="For Report"/>
      <sheetName val="All Assets"/>
      <sheetName val="Material Costs"/>
      <sheetName val="Embankment"/>
      <sheetName val="Medium Culvert"/>
      <sheetName val="Large Culvert"/>
      <sheetName val="Erosion"/>
      <sheetName val="Drainage"/>
      <sheetName val="Flap Gate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D685700-DB57-4E42-ADA8-F0F7B6C6FF0E}" name="Table14542" displayName="Table14542" ref="A10:F105" totalsRowCount="1" headerRowDxfId="27" dataDxfId="26" totalsRowDxfId="25">
  <autoFilter ref="A10:F104" xr:uid="{6AB692BA-9B17-4293-8B58-757C4BE9714F}"/>
  <tableColumns count="6">
    <tableColumn id="1" xr3:uid="{313CB00D-22C7-4C58-AA0A-7EF635B600AD}" name="Ref." totalsRowLabel="Total" totalsRowDxfId="5"/>
    <tableColumn id="2" xr3:uid="{79CC278E-7754-4EBD-A0C5-498081F69937}" name="Description" dataDxfId="24" totalsRowDxfId="4"/>
    <tableColumn id="4" xr3:uid="{9726978A-7DD3-4EC5-B6E7-62C8DBB99313}" name="Unit" dataDxfId="23" totalsRowDxfId="3"/>
    <tableColumn id="5" xr3:uid="{5F9DECFC-C19B-4756-AB13-5137045C5416}" name="Quantity" dataDxfId="22" totalsRowDxfId="2"/>
    <tableColumn id="6" xr3:uid="{A419094D-BFF2-42C1-A197-EBD2C43402C3}" name="Unit cost (USD)" totalsRowDxfId="1"/>
    <tableColumn id="7" xr3:uid="{13DD57DC-1723-42CA-805F-C0BB9BE89853}" name="Cost (USD)" totalsRowFunction="custom" dataDxfId="21" totalsRowDxfId="0" dataCellStyle="Comma">
      <calculatedColumnFormula>Table14542[[#This Row],[Unit cost (USD)]]*Table14542[[#This Row],[Quantity]]</calculatedColumnFormula>
      <totalsRowFormula>SUM(F11,F21,F38,F55,F72,F85)</totalsRowFormula>
    </tableColumn>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A5243A5-65E2-44ED-B41D-39028997C941}" name="Table14" displayName="Table14" ref="A9:F21" totalsRowCount="1" headerRowDxfId="20" dataDxfId="19" totalsRowDxfId="18">
  <tableColumns count="6">
    <tableColumn id="1" xr3:uid="{09985398-1EA5-45C6-A46E-2219A7E0B29E}" name="Ref." dataDxfId="17" totalsRowDxfId="16"/>
    <tableColumn id="2" xr3:uid="{B97AD8B7-C89E-48C5-9D64-CB6EFD968914}" name="ID" dataDxfId="15" totalsRowDxfId="14"/>
    <tableColumn id="5" xr3:uid="{AA2E45E7-3500-498E-A9E1-20032C0F5BF4}" name="GPS Coordinates " dataDxfId="13" totalsRowDxfId="12"/>
    <tableColumn id="3" xr3:uid="{DB268823-5149-4730-8BEB-C3471EE2D41A}" name="Intervention type " dataDxfId="11" totalsRowDxfId="10"/>
    <tableColumn id="4" xr3:uid="{77F71CDE-0F3D-43B8-B9F9-848C66EA7614}" name="Scenario" dataDxfId="9" totalsRowDxfId="8"/>
    <tableColumn id="6" xr3:uid="{0D7B92B7-D5B0-45E4-8BD6-AAD1F976AAA3}" name="Drawing Reference " dataDxfId="7" totalsRowDxfId="6"/>
  </tableColumns>
  <tableStyleInfo name="TableStyleLight9" showFirstColumn="0" showLastColumn="0" showRowStripes="1" showColumnStripes="1"/>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4E9E1-7A09-450B-8B90-5EAC7CF6C651}">
  <sheetPr>
    <tabColor theme="4" tint="0.59999389629810485"/>
    <pageSetUpPr fitToPage="1"/>
  </sheetPr>
  <dimension ref="A1:F105"/>
  <sheetViews>
    <sheetView tabSelected="1" view="pageBreakPreview" topLeftCell="A91" zoomScale="99" zoomScaleNormal="100" zoomScaleSheetLayoutView="99" workbookViewId="0">
      <selection activeCell="E108" sqref="E108"/>
    </sheetView>
  </sheetViews>
  <sheetFormatPr defaultRowHeight="14.4" x14ac:dyDescent="0.3"/>
  <cols>
    <col min="2" max="2" width="74.44140625" customWidth="1"/>
    <col min="3" max="3" width="10" bestFit="1" customWidth="1"/>
    <col min="4" max="4" width="12.77734375" bestFit="1" customWidth="1"/>
    <col min="5" max="5" width="13.33203125" bestFit="1" customWidth="1"/>
    <col min="6" max="6" width="14.44140625" bestFit="1" customWidth="1"/>
  </cols>
  <sheetData>
    <row r="1" spans="1:6" x14ac:dyDescent="0.3">
      <c r="A1" s="1" t="s">
        <v>0</v>
      </c>
    </row>
    <row r="2" spans="1:6" x14ac:dyDescent="0.3">
      <c r="A2" t="s">
        <v>1</v>
      </c>
    </row>
    <row r="3" spans="1:6" x14ac:dyDescent="0.3">
      <c r="A3" t="s">
        <v>2</v>
      </c>
    </row>
    <row r="4" spans="1:6" x14ac:dyDescent="0.3">
      <c r="A4" t="s">
        <v>59</v>
      </c>
    </row>
    <row r="5" spans="1:6" x14ac:dyDescent="0.3">
      <c r="A5" t="s">
        <v>343</v>
      </c>
    </row>
    <row r="7" spans="1:6" ht="15" customHeight="1" x14ac:dyDescent="0.3">
      <c r="A7" s="109" t="s">
        <v>359</v>
      </c>
      <c r="B7" s="110"/>
      <c r="C7" s="110"/>
      <c r="D7" s="110"/>
      <c r="E7" s="110"/>
      <c r="F7" s="111"/>
    </row>
    <row r="8" spans="1:6" ht="15" customHeight="1" x14ac:dyDescent="0.3">
      <c r="A8" s="112"/>
      <c r="B8" s="113"/>
      <c r="C8" s="113"/>
      <c r="D8" s="113"/>
      <c r="E8" s="113"/>
      <c r="F8" s="114"/>
    </row>
    <row r="9" spans="1:6" ht="222" customHeight="1" x14ac:dyDescent="0.3">
      <c r="A9" s="115" t="s">
        <v>264</v>
      </c>
      <c r="B9" s="116"/>
      <c r="C9" s="116"/>
      <c r="D9" s="116"/>
      <c r="E9" s="116"/>
      <c r="F9" s="117"/>
    </row>
    <row r="10" spans="1:6" ht="28.8" x14ac:dyDescent="0.3">
      <c r="A10" s="23" t="s">
        <v>4</v>
      </c>
      <c r="B10" s="23" t="s">
        <v>34</v>
      </c>
      <c r="C10" s="24" t="s">
        <v>35</v>
      </c>
      <c r="D10" s="25" t="s">
        <v>36</v>
      </c>
      <c r="E10" s="25" t="s">
        <v>37</v>
      </c>
      <c r="F10" s="25" t="s">
        <v>38</v>
      </c>
    </row>
    <row r="11" spans="1:6" x14ac:dyDescent="0.3">
      <c r="A11" s="8">
        <v>1</v>
      </c>
      <c r="B11" s="9" t="s">
        <v>44</v>
      </c>
      <c r="C11" s="10"/>
      <c r="D11" s="11"/>
      <c r="E11" s="12"/>
      <c r="F11" s="13">
        <f>SUM(F12,F14)</f>
        <v>0</v>
      </c>
    </row>
    <row r="12" spans="1:6" x14ac:dyDescent="0.3">
      <c r="A12" s="35">
        <v>1.1000000000000001</v>
      </c>
      <c r="B12" s="36" t="s">
        <v>76</v>
      </c>
      <c r="C12" s="37"/>
      <c r="D12" s="38"/>
      <c r="E12" s="39"/>
      <c r="F12" s="40">
        <f>F13</f>
        <v>0</v>
      </c>
    </row>
    <row r="13" spans="1:6" ht="55.2" x14ac:dyDescent="0.3">
      <c r="A13" s="14" t="s">
        <v>79</v>
      </c>
      <c r="B13" s="15" t="s">
        <v>77</v>
      </c>
      <c r="C13" s="16" t="s">
        <v>162</v>
      </c>
      <c r="D13" s="17">
        <f>(5+1.835+1.835+0.147+0.147)*(19.2+2+2)</f>
        <v>207.9648</v>
      </c>
      <c r="E13" s="18" t="s">
        <v>360</v>
      </c>
      <c r="F13" s="19"/>
    </row>
    <row r="14" spans="1:6" x14ac:dyDescent="0.3">
      <c r="A14" s="35">
        <v>1.2</v>
      </c>
      <c r="B14" s="36" t="s">
        <v>84</v>
      </c>
      <c r="C14" s="37"/>
      <c r="D14" s="38"/>
      <c r="E14" s="39"/>
      <c r="F14" s="40">
        <f>SUM(F15:F20)</f>
        <v>0</v>
      </c>
    </row>
    <row r="15" spans="1:6" ht="27.6" x14ac:dyDescent="0.3">
      <c r="A15" s="14" t="s">
        <v>80</v>
      </c>
      <c r="B15" s="43" t="s">
        <v>86</v>
      </c>
      <c r="C15" s="16" t="s">
        <v>85</v>
      </c>
      <c r="D15" s="17">
        <f>228*5</f>
        <v>1140</v>
      </c>
      <c r="E15" s="20"/>
      <c r="F15" s="19"/>
    </row>
    <row r="16" spans="1:6" ht="27.6" x14ac:dyDescent="0.3">
      <c r="A16" s="14" t="s">
        <v>81</v>
      </c>
      <c r="B16" s="15" t="s">
        <v>87</v>
      </c>
      <c r="C16" s="16" t="s">
        <v>85</v>
      </c>
      <c r="D16" s="17">
        <f>54*5</f>
        <v>270</v>
      </c>
      <c r="E16" s="20"/>
      <c r="F16" s="19"/>
    </row>
    <row r="17" spans="1:6" ht="27.6" x14ac:dyDescent="0.3">
      <c r="A17" s="14" t="s">
        <v>82</v>
      </c>
      <c r="B17" s="15" t="s">
        <v>88</v>
      </c>
      <c r="C17" s="16" t="s">
        <v>85</v>
      </c>
      <c r="D17" s="17">
        <f>25*5</f>
        <v>125</v>
      </c>
      <c r="E17" s="20"/>
      <c r="F17" s="19"/>
    </row>
    <row r="18" spans="1:6" ht="27.6" x14ac:dyDescent="0.3">
      <c r="A18" s="14" t="s">
        <v>83</v>
      </c>
      <c r="B18" s="43" t="s">
        <v>265</v>
      </c>
      <c r="C18" s="16" t="s">
        <v>85</v>
      </c>
      <c r="D18" s="17">
        <f>6*5</f>
        <v>30</v>
      </c>
      <c r="E18" s="20"/>
      <c r="F18" s="19"/>
    </row>
    <row r="19" spans="1:6" ht="27.6" x14ac:dyDescent="0.3">
      <c r="A19" s="14" t="s">
        <v>266</v>
      </c>
      <c r="B19" s="42" t="s">
        <v>90</v>
      </c>
      <c r="C19" s="16" t="s">
        <v>85</v>
      </c>
      <c r="D19" s="17">
        <f>21*5</f>
        <v>105</v>
      </c>
      <c r="E19" s="20"/>
      <c r="F19" s="19"/>
    </row>
    <row r="20" spans="1:6" ht="27.6" x14ac:dyDescent="0.3">
      <c r="A20" s="14" t="s">
        <v>267</v>
      </c>
      <c r="B20" s="43" t="s">
        <v>91</v>
      </c>
      <c r="C20" s="16" t="s">
        <v>85</v>
      </c>
      <c r="D20" s="17">
        <f>19*5</f>
        <v>95</v>
      </c>
      <c r="E20" s="20"/>
      <c r="F20" s="19"/>
    </row>
    <row r="21" spans="1:6" x14ac:dyDescent="0.3">
      <c r="A21" s="8">
        <v>2</v>
      </c>
      <c r="B21" s="9" t="s">
        <v>55</v>
      </c>
      <c r="C21" s="10"/>
      <c r="D21" s="11"/>
      <c r="E21" s="12"/>
      <c r="F21" s="13">
        <f>SUM(F22,F26,F31)</f>
        <v>0</v>
      </c>
    </row>
    <row r="22" spans="1:6" x14ac:dyDescent="0.3">
      <c r="A22" s="35">
        <v>2.1</v>
      </c>
      <c r="B22" s="36" t="s">
        <v>76</v>
      </c>
      <c r="C22" s="37"/>
      <c r="D22" s="38"/>
      <c r="E22" s="39"/>
      <c r="F22" s="40">
        <f>SUM(F23:F25)</f>
        <v>0</v>
      </c>
    </row>
    <row r="23" spans="1:6" ht="55.2" x14ac:dyDescent="0.3">
      <c r="A23" s="14" t="s">
        <v>268</v>
      </c>
      <c r="B23" s="15" t="s">
        <v>77</v>
      </c>
      <c r="C23" s="93" t="s">
        <v>162</v>
      </c>
      <c r="D23" s="17">
        <f>(9+1.835+1.835+0.147+0.147)*(19.2+2+2)</f>
        <v>300.76480000000004</v>
      </c>
      <c r="E23" s="18"/>
      <c r="F23" s="19"/>
    </row>
    <row r="24" spans="1:6" ht="69" x14ac:dyDescent="0.3">
      <c r="A24" s="14" t="s">
        <v>269</v>
      </c>
      <c r="B24" s="15" t="s">
        <v>341</v>
      </c>
      <c r="C24" s="93" t="s">
        <v>169</v>
      </c>
      <c r="D24" s="17">
        <f>D23*2.5</f>
        <v>751.91200000000003</v>
      </c>
      <c r="E24" s="18"/>
      <c r="F24" s="19"/>
    </row>
    <row r="25" spans="1:6" ht="41.4" x14ac:dyDescent="0.3">
      <c r="A25" s="14" t="s">
        <v>270</v>
      </c>
      <c r="B25" s="15" t="s">
        <v>271</v>
      </c>
      <c r="C25" s="16" t="s">
        <v>169</v>
      </c>
      <c r="D25" s="17">
        <f>D23*0.3</f>
        <v>90.229440000000011</v>
      </c>
      <c r="E25" s="18"/>
      <c r="F25" s="19"/>
    </row>
    <row r="26" spans="1:6" x14ac:dyDescent="0.3">
      <c r="A26" s="35">
        <v>2.2000000000000002</v>
      </c>
      <c r="B26" s="36" t="s">
        <v>78</v>
      </c>
      <c r="C26" s="37"/>
      <c r="D26" s="38"/>
      <c r="E26" s="39"/>
      <c r="F26" s="40">
        <f>SUM(F27:F30)</f>
        <v>0</v>
      </c>
    </row>
    <row r="27" spans="1:6" ht="41.4" x14ac:dyDescent="0.3">
      <c r="A27" s="14" t="s">
        <v>272</v>
      </c>
      <c r="B27" s="15" t="s">
        <v>273</v>
      </c>
      <c r="C27" s="16" t="s">
        <v>169</v>
      </c>
      <c r="D27" s="17">
        <f>0.3*((9+0.2+0.2)*(17.6+1.6))</f>
        <v>54.143999999999998</v>
      </c>
      <c r="E27" s="18"/>
      <c r="F27" s="19"/>
    </row>
    <row r="28" spans="1:6" ht="41.4" x14ac:dyDescent="0.3">
      <c r="A28" s="14" t="s">
        <v>274</v>
      </c>
      <c r="B28" s="43" t="s">
        <v>275</v>
      </c>
      <c r="C28" s="16" t="s">
        <v>169</v>
      </c>
      <c r="D28" s="17">
        <f>2*(0.3*((1.835*2)+(9*2)))</f>
        <v>13.002000000000001</v>
      </c>
      <c r="E28" s="18"/>
      <c r="F28" s="19"/>
    </row>
    <row r="29" spans="1:6" ht="55.2" x14ac:dyDescent="0.3">
      <c r="A29" s="14" t="s">
        <v>276</v>
      </c>
      <c r="B29" s="42" t="s">
        <v>277</v>
      </c>
      <c r="C29" s="16" t="s">
        <v>169</v>
      </c>
      <c r="D29" s="17">
        <f>72*3.06</f>
        <v>220.32</v>
      </c>
      <c r="E29" s="18"/>
      <c r="F29" s="19"/>
    </row>
    <row r="30" spans="1:6" ht="55.2" x14ac:dyDescent="0.3">
      <c r="A30" s="14" t="s">
        <v>278</v>
      </c>
      <c r="B30" s="42" t="s">
        <v>279</v>
      </c>
      <c r="C30" s="16" t="s">
        <v>169</v>
      </c>
      <c r="D30" s="17">
        <f>(18*0.45)+4.89</f>
        <v>12.989999999999998</v>
      </c>
      <c r="E30" s="18"/>
      <c r="F30" s="19"/>
    </row>
    <row r="31" spans="1:6" x14ac:dyDescent="0.3">
      <c r="A31" s="35">
        <v>2.2999999999999998</v>
      </c>
      <c r="B31" s="36" t="s">
        <v>84</v>
      </c>
      <c r="C31" s="37"/>
      <c r="D31" s="38"/>
      <c r="E31" s="39"/>
      <c r="F31" s="40">
        <f>SUM(F32:F37)</f>
        <v>0</v>
      </c>
    </row>
    <row r="32" spans="1:6" ht="27.6" x14ac:dyDescent="0.3">
      <c r="A32" s="14" t="s">
        <v>280</v>
      </c>
      <c r="B32" s="43" t="s">
        <v>86</v>
      </c>
      <c r="C32" s="16" t="s">
        <v>85</v>
      </c>
      <c r="D32" s="17">
        <f>228*6</f>
        <v>1368</v>
      </c>
      <c r="E32" s="20"/>
      <c r="F32" s="19"/>
    </row>
    <row r="33" spans="1:6" ht="27.6" x14ac:dyDescent="0.3">
      <c r="A33" s="14" t="s">
        <v>281</v>
      </c>
      <c r="B33" s="15" t="s">
        <v>87</v>
      </c>
      <c r="C33" s="16" t="s">
        <v>85</v>
      </c>
      <c r="D33" s="17">
        <f>54*6</f>
        <v>324</v>
      </c>
      <c r="E33" s="20"/>
      <c r="F33" s="19"/>
    </row>
    <row r="34" spans="1:6" ht="27.6" x14ac:dyDescent="0.3">
      <c r="A34" s="14" t="s">
        <v>282</v>
      </c>
      <c r="B34" s="15" t="s">
        <v>88</v>
      </c>
      <c r="C34" s="16" t="s">
        <v>85</v>
      </c>
      <c r="D34" s="17">
        <f>25*6</f>
        <v>150</v>
      </c>
      <c r="E34" s="20"/>
      <c r="F34" s="19"/>
    </row>
    <row r="35" spans="1:6" ht="27.6" x14ac:dyDescent="0.3">
      <c r="A35" s="14" t="s">
        <v>283</v>
      </c>
      <c r="B35" s="43" t="s">
        <v>265</v>
      </c>
      <c r="C35" s="16" t="s">
        <v>85</v>
      </c>
      <c r="D35" s="17">
        <f>6*6</f>
        <v>36</v>
      </c>
      <c r="E35" s="20"/>
      <c r="F35" s="19"/>
    </row>
    <row r="36" spans="1:6" ht="27.6" x14ac:dyDescent="0.3">
      <c r="A36" s="14" t="s">
        <v>284</v>
      </c>
      <c r="B36" s="42" t="s">
        <v>90</v>
      </c>
      <c r="C36" s="16" t="s">
        <v>85</v>
      </c>
      <c r="D36" s="17">
        <f>21*6</f>
        <v>126</v>
      </c>
      <c r="E36" s="20"/>
      <c r="F36" s="19"/>
    </row>
    <row r="37" spans="1:6" ht="27.6" x14ac:dyDescent="0.3">
      <c r="A37" s="14" t="s">
        <v>285</v>
      </c>
      <c r="B37" s="43" t="s">
        <v>91</v>
      </c>
      <c r="C37" s="16" t="s">
        <v>85</v>
      </c>
      <c r="D37" s="17">
        <f>19*6</f>
        <v>114</v>
      </c>
      <c r="E37" s="20"/>
      <c r="F37" s="19"/>
    </row>
    <row r="38" spans="1:6" x14ac:dyDescent="0.3">
      <c r="A38" s="8">
        <v>3</v>
      </c>
      <c r="B38" s="9" t="s">
        <v>53</v>
      </c>
      <c r="C38" s="10"/>
      <c r="D38" s="11"/>
      <c r="E38" s="12"/>
      <c r="F38" s="13">
        <f>SUM(F39,F43,F48)</f>
        <v>0</v>
      </c>
    </row>
    <row r="39" spans="1:6" x14ac:dyDescent="0.3">
      <c r="A39" s="35">
        <v>3.1</v>
      </c>
      <c r="B39" s="36" t="s">
        <v>76</v>
      </c>
      <c r="C39" s="37"/>
      <c r="D39" s="38"/>
      <c r="E39" s="39"/>
      <c r="F39" s="40">
        <f>SUM(F40:F42)</f>
        <v>0</v>
      </c>
    </row>
    <row r="40" spans="1:6" ht="55.2" x14ac:dyDescent="0.3">
      <c r="A40" s="14" t="s">
        <v>286</v>
      </c>
      <c r="B40" s="15" t="s">
        <v>77</v>
      </c>
      <c r="C40" s="16" t="s">
        <v>162</v>
      </c>
      <c r="D40" s="17">
        <f>(9+1.835+1.835+0.147+0.147)*(6.3+2+2)</f>
        <v>133.52920000000003</v>
      </c>
      <c r="E40" s="18"/>
      <c r="F40" s="19"/>
    </row>
    <row r="41" spans="1:6" ht="69" x14ac:dyDescent="0.3">
      <c r="A41" s="14" t="s">
        <v>287</v>
      </c>
      <c r="B41" s="15" t="s">
        <v>342</v>
      </c>
      <c r="C41" s="16" t="s">
        <v>169</v>
      </c>
      <c r="D41" s="17">
        <f>D40*2.5</f>
        <v>333.82300000000009</v>
      </c>
      <c r="E41" s="18"/>
      <c r="F41" s="19"/>
    </row>
    <row r="42" spans="1:6" ht="41.4" x14ac:dyDescent="0.3">
      <c r="A42" s="14" t="s">
        <v>288</v>
      </c>
      <c r="B42" s="15" t="s">
        <v>271</v>
      </c>
      <c r="C42" s="16" t="s">
        <v>169</v>
      </c>
      <c r="D42" s="17">
        <f>D40*0.3</f>
        <v>40.058760000000007</v>
      </c>
      <c r="E42" s="18"/>
      <c r="F42" s="19"/>
    </row>
    <row r="43" spans="1:6" x14ac:dyDescent="0.3">
      <c r="A43" s="35">
        <v>3.2</v>
      </c>
      <c r="B43" s="36" t="s">
        <v>78</v>
      </c>
      <c r="C43" s="37"/>
      <c r="D43" s="38"/>
      <c r="E43" s="39"/>
      <c r="F43" s="40">
        <f>SUM(F44:F47)</f>
        <v>0</v>
      </c>
    </row>
    <row r="44" spans="1:6" ht="41.4" x14ac:dyDescent="0.3">
      <c r="A44" s="14" t="s">
        <v>289</v>
      </c>
      <c r="B44" s="15" t="s">
        <v>290</v>
      </c>
      <c r="C44" s="16" t="s">
        <v>169</v>
      </c>
      <c r="D44" s="17">
        <f>0.3*((9+0.2+0.2)*(6.3))</f>
        <v>17.765999999999998</v>
      </c>
      <c r="E44" s="18"/>
      <c r="F44" s="19"/>
    </row>
    <row r="45" spans="1:6" ht="41.4" x14ac:dyDescent="0.3">
      <c r="A45" s="14" t="s">
        <v>291</v>
      </c>
      <c r="B45" s="43" t="s">
        <v>292</v>
      </c>
      <c r="C45" s="16" t="s">
        <v>169</v>
      </c>
      <c r="D45" s="17">
        <f>2*(0.3*((1.835*2)+(9*2)))</f>
        <v>13.002000000000001</v>
      </c>
      <c r="E45" s="18"/>
      <c r="F45" s="19"/>
    </row>
    <row r="46" spans="1:6" ht="55.2" x14ac:dyDescent="0.3">
      <c r="A46" s="14" t="s">
        <v>293</v>
      </c>
      <c r="B46" s="42" t="s">
        <v>277</v>
      </c>
      <c r="C46" s="16" t="s">
        <v>169</v>
      </c>
      <c r="D46" s="17">
        <f>24*3.06</f>
        <v>73.44</v>
      </c>
      <c r="E46" s="18"/>
      <c r="F46" s="19"/>
    </row>
    <row r="47" spans="1:6" ht="55.2" x14ac:dyDescent="0.3">
      <c r="A47" s="14" t="s">
        <v>294</v>
      </c>
      <c r="B47" s="42" t="s">
        <v>279</v>
      </c>
      <c r="C47" s="16" t="s">
        <v>169</v>
      </c>
      <c r="D47" s="17">
        <f>(18*0.45)+4.89</f>
        <v>12.989999999999998</v>
      </c>
      <c r="E47" s="18"/>
      <c r="F47" s="19"/>
    </row>
    <row r="48" spans="1:6" x14ac:dyDescent="0.3">
      <c r="A48" s="35">
        <v>3.3</v>
      </c>
      <c r="B48" s="36" t="s">
        <v>84</v>
      </c>
      <c r="C48" s="37"/>
      <c r="D48" s="38"/>
      <c r="E48" s="39"/>
      <c r="F48" s="40">
        <f>SUM(F49:F54)</f>
        <v>0</v>
      </c>
    </row>
    <row r="49" spans="1:6" ht="27.6" x14ac:dyDescent="0.3">
      <c r="A49" s="14" t="s">
        <v>295</v>
      </c>
      <c r="B49" s="43" t="s">
        <v>86</v>
      </c>
      <c r="C49" s="16" t="s">
        <v>85</v>
      </c>
      <c r="D49" s="17">
        <f>228*6</f>
        <v>1368</v>
      </c>
      <c r="E49" s="20"/>
      <c r="F49" s="19"/>
    </row>
    <row r="50" spans="1:6" ht="27.6" x14ac:dyDescent="0.3">
      <c r="A50" s="14" t="s">
        <v>296</v>
      </c>
      <c r="B50" s="15" t="s">
        <v>87</v>
      </c>
      <c r="C50" s="16" t="s">
        <v>85</v>
      </c>
      <c r="D50" s="17">
        <f>54*6</f>
        <v>324</v>
      </c>
      <c r="E50" s="20"/>
      <c r="F50" s="19"/>
    </row>
    <row r="51" spans="1:6" ht="27.6" x14ac:dyDescent="0.3">
      <c r="A51" s="14" t="s">
        <v>297</v>
      </c>
      <c r="B51" s="15" t="s">
        <v>88</v>
      </c>
      <c r="C51" s="16" t="s">
        <v>85</v>
      </c>
      <c r="D51" s="17">
        <f>25*6</f>
        <v>150</v>
      </c>
      <c r="E51" s="20"/>
      <c r="F51" s="19"/>
    </row>
    <row r="52" spans="1:6" ht="27.6" x14ac:dyDescent="0.3">
      <c r="A52" s="14" t="s">
        <v>298</v>
      </c>
      <c r="B52" s="43" t="s">
        <v>89</v>
      </c>
      <c r="C52" s="16" t="s">
        <v>85</v>
      </c>
      <c r="D52" s="17">
        <f>6*6</f>
        <v>36</v>
      </c>
      <c r="E52" s="20"/>
      <c r="F52" s="19"/>
    </row>
    <row r="53" spans="1:6" ht="27.6" x14ac:dyDescent="0.3">
      <c r="A53" s="14" t="s">
        <v>299</v>
      </c>
      <c r="B53" s="42" t="s">
        <v>90</v>
      </c>
      <c r="C53" s="16" t="s">
        <v>85</v>
      </c>
      <c r="D53" s="17">
        <f>21*6</f>
        <v>126</v>
      </c>
      <c r="E53" s="20"/>
      <c r="F53" s="19"/>
    </row>
    <row r="54" spans="1:6" ht="27.6" x14ac:dyDescent="0.3">
      <c r="A54" s="14" t="s">
        <v>300</v>
      </c>
      <c r="B54" s="43" t="s">
        <v>91</v>
      </c>
      <c r="C54" s="16" t="s">
        <v>85</v>
      </c>
      <c r="D54" s="17">
        <f>19*6</f>
        <v>114</v>
      </c>
      <c r="E54" s="20"/>
      <c r="F54" s="19"/>
    </row>
    <row r="55" spans="1:6" x14ac:dyDescent="0.3">
      <c r="A55" s="8">
        <v>4</v>
      </c>
      <c r="B55" s="9" t="s">
        <v>54</v>
      </c>
      <c r="C55" s="10"/>
      <c r="D55" s="11"/>
      <c r="E55" s="12"/>
      <c r="F55" s="13">
        <f>SUM(F56,F60,F65)</f>
        <v>0</v>
      </c>
    </row>
    <row r="56" spans="1:6" x14ac:dyDescent="0.3">
      <c r="A56" s="35">
        <v>4.0999999999999996</v>
      </c>
      <c r="B56" s="36" t="s">
        <v>76</v>
      </c>
      <c r="C56" s="37"/>
      <c r="D56" s="38"/>
      <c r="E56" s="39"/>
      <c r="F56" s="40">
        <f>SUM(F57:F59)</f>
        <v>0</v>
      </c>
    </row>
    <row r="57" spans="1:6" ht="55.2" x14ac:dyDescent="0.3">
      <c r="A57" s="14" t="s">
        <v>301</v>
      </c>
      <c r="B57" s="15" t="s">
        <v>77</v>
      </c>
      <c r="C57" s="16" t="s">
        <v>162</v>
      </c>
      <c r="D57" s="17">
        <f>(6+1.835+1.835+0.147+0.147)*(6.3+2+2)</f>
        <v>102.62920000000001</v>
      </c>
      <c r="E57" s="18"/>
      <c r="F57" s="19"/>
    </row>
    <row r="58" spans="1:6" ht="69" x14ac:dyDescent="0.3">
      <c r="A58" s="14" t="s">
        <v>302</v>
      </c>
      <c r="B58" s="15" t="s">
        <v>342</v>
      </c>
      <c r="C58" s="16" t="s">
        <v>169</v>
      </c>
      <c r="D58" s="17">
        <f>D57*2.5</f>
        <v>256.57300000000004</v>
      </c>
      <c r="E58" s="18"/>
      <c r="F58" s="19"/>
    </row>
    <row r="59" spans="1:6" ht="41.4" x14ac:dyDescent="0.3">
      <c r="A59" s="14" t="s">
        <v>303</v>
      </c>
      <c r="B59" s="15" t="s">
        <v>271</v>
      </c>
      <c r="C59" s="16" t="s">
        <v>169</v>
      </c>
      <c r="D59" s="17">
        <f>D57*0.3</f>
        <v>30.788760000000003</v>
      </c>
      <c r="E59" s="18"/>
      <c r="F59" s="19"/>
    </row>
    <row r="60" spans="1:6" x14ac:dyDescent="0.3">
      <c r="A60" s="35">
        <v>4.2</v>
      </c>
      <c r="B60" s="36" t="s">
        <v>78</v>
      </c>
      <c r="C60" s="37"/>
      <c r="D60" s="38"/>
      <c r="E60" s="39"/>
      <c r="F60" s="40">
        <f>SUM(F61:F64)</f>
        <v>0</v>
      </c>
    </row>
    <row r="61" spans="1:6" ht="41.4" x14ac:dyDescent="0.3">
      <c r="A61" s="14" t="s">
        <v>304</v>
      </c>
      <c r="B61" s="15" t="s">
        <v>320</v>
      </c>
      <c r="C61" s="16" t="s">
        <v>169</v>
      </c>
      <c r="D61" s="17">
        <f>0.3*((6+0.2+0.2)*(6.3))</f>
        <v>12.096</v>
      </c>
      <c r="E61" s="18"/>
      <c r="F61" s="19"/>
    </row>
    <row r="62" spans="1:6" ht="41.4" x14ac:dyDescent="0.3">
      <c r="A62" s="14" t="s">
        <v>305</v>
      </c>
      <c r="B62" s="43" t="s">
        <v>292</v>
      </c>
      <c r="C62" s="16" t="s">
        <v>169</v>
      </c>
      <c r="D62" s="17">
        <f>2*(0.3*((1.835*2)+(6*2)))</f>
        <v>9.4019999999999992</v>
      </c>
      <c r="E62" s="18"/>
      <c r="F62" s="19"/>
    </row>
    <row r="63" spans="1:6" ht="55.2" x14ac:dyDescent="0.3">
      <c r="A63" s="14" t="s">
        <v>306</v>
      </c>
      <c r="B63" s="42" t="s">
        <v>323</v>
      </c>
      <c r="C63" s="16" t="s">
        <v>169</v>
      </c>
      <c r="D63" s="17">
        <f>3.06*16</f>
        <v>48.96</v>
      </c>
      <c r="E63" s="18"/>
      <c r="F63" s="19"/>
    </row>
    <row r="64" spans="1:6" ht="55.2" x14ac:dyDescent="0.3">
      <c r="A64" s="14" t="s">
        <v>307</v>
      </c>
      <c r="B64" s="42" t="s">
        <v>279</v>
      </c>
      <c r="C64" s="16" t="s">
        <v>169</v>
      </c>
      <c r="D64" s="17">
        <f>(12*0.45)+4.89</f>
        <v>10.29</v>
      </c>
      <c r="E64" s="18"/>
      <c r="F64" s="19"/>
    </row>
    <row r="65" spans="1:6" x14ac:dyDescent="0.3">
      <c r="A65" s="35">
        <v>4.3</v>
      </c>
      <c r="B65" s="36" t="s">
        <v>84</v>
      </c>
      <c r="C65" s="37"/>
      <c r="D65" s="38"/>
      <c r="E65" s="39"/>
      <c r="F65" s="40">
        <f>SUM(F66:F71)</f>
        <v>0</v>
      </c>
    </row>
    <row r="66" spans="1:6" ht="27.6" x14ac:dyDescent="0.3">
      <c r="A66" s="14" t="s">
        <v>308</v>
      </c>
      <c r="B66" s="43" t="s">
        <v>86</v>
      </c>
      <c r="C66" s="16" t="s">
        <v>85</v>
      </c>
      <c r="D66" s="17">
        <f>228*4</f>
        <v>912</v>
      </c>
      <c r="E66" s="20"/>
      <c r="F66" s="19"/>
    </row>
    <row r="67" spans="1:6" ht="27.6" x14ac:dyDescent="0.3">
      <c r="A67" s="14" t="s">
        <v>309</v>
      </c>
      <c r="B67" s="15" t="s">
        <v>87</v>
      </c>
      <c r="C67" s="16" t="s">
        <v>85</v>
      </c>
      <c r="D67" s="17">
        <f>54*4</f>
        <v>216</v>
      </c>
      <c r="E67" s="20"/>
      <c r="F67" s="19"/>
    </row>
    <row r="68" spans="1:6" ht="27.6" x14ac:dyDescent="0.3">
      <c r="A68" s="14" t="s">
        <v>310</v>
      </c>
      <c r="B68" s="15" t="s">
        <v>88</v>
      </c>
      <c r="C68" s="16" t="s">
        <v>85</v>
      </c>
      <c r="D68" s="17">
        <f>25*4</f>
        <v>100</v>
      </c>
      <c r="E68" s="20"/>
      <c r="F68" s="19"/>
    </row>
    <row r="69" spans="1:6" ht="27.6" x14ac:dyDescent="0.3">
      <c r="A69" s="14" t="s">
        <v>311</v>
      </c>
      <c r="B69" s="43" t="s">
        <v>89</v>
      </c>
      <c r="C69" s="16" t="s">
        <v>85</v>
      </c>
      <c r="D69" s="17">
        <f>6*4</f>
        <v>24</v>
      </c>
      <c r="E69" s="20"/>
      <c r="F69" s="19"/>
    </row>
    <row r="70" spans="1:6" ht="27.6" x14ac:dyDescent="0.3">
      <c r="A70" s="14" t="s">
        <v>312</v>
      </c>
      <c r="B70" s="42" t="s">
        <v>90</v>
      </c>
      <c r="C70" s="16" t="s">
        <v>85</v>
      </c>
      <c r="D70" s="17">
        <f>21*4</f>
        <v>84</v>
      </c>
      <c r="E70" s="20"/>
      <c r="F70" s="19"/>
    </row>
    <row r="71" spans="1:6" ht="27.6" x14ac:dyDescent="0.3">
      <c r="A71" s="14" t="s">
        <v>313</v>
      </c>
      <c r="B71" s="43" t="s">
        <v>91</v>
      </c>
      <c r="C71" s="16" t="s">
        <v>85</v>
      </c>
      <c r="D71" s="17">
        <f>19*4</f>
        <v>76</v>
      </c>
      <c r="E71" s="20"/>
      <c r="F71" s="19"/>
    </row>
    <row r="72" spans="1:6" x14ac:dyDescent="0.3">
      <c r="A72" s="8">
        <v>5</v>
      </c>
      <c r="B72" s="9" t="s">
        <v>56</v>
      </c>
      <c r="C72" s="10"/>
      <c r="D72" s="11"/>
      <c r="E72" s="12"/>
      <c r="F72" s="13">
        <f>SUM(F73,F77,F82)</f>
        <v>0</v>
      </c>
    </row>
    <row r="73" spans="1:6" x14ac:dyDescent="0.3">
      <c r="A73" s="35">
        <v>5.0999999999999996</v>
      </c>
      <c r="B73" s="36" t="s">
        <v>76</v>
      </c>
      <c r="C73" s="37"/>
      <c r="D73" s="38"/>
      <c r="E73" s="39"/>
      <c r="F73" s="40">
        <f>SUM(F74:F76)</f>
        <v>0</v>
      </c>
    </row>
    <row r="74" spans="1:6" ht="55.2" x14ac:dyDescent="0.3">
      <c r="A74" s="14" t="s">
        <v>344</v>
      </c>
      <c r="B74" s="15" t="s">
        <v>77</v>
      </c>
      <c r="C74" s="16" t="s">
        <v>162</v>
      </c>
      <c r="D74" s="17">
        <f>(6+1.835+1.835+0.147+0.147)*(19.2+2+2)</f>
        <v>231.16480000000001</v>
      </c>
      <c r="E74" s="18"/>
      <c r="F74" s="19"/>
    </row>
    <row r="75" spans="1:6" ht="69" x14ac:dyDescent="0.3">
      <c r="A75" s="14" t="s">
        <v>345</v>
      </c>
      <c r="B75" s="15" t="s">
        <v>342</v>
      </c>
      <c r="C75" s="16" t="s">
        <v>169</v>
      </c>
      <c r="D75" s="17">
        <f>D74*2.5</f>
        <v>577.91200000000003</v>
      </c>
      <c r="E75" s="18"/>
      <c r="F75" s="19"/>
    </row>
    <row r="76" spans="1:6" ht="41.4" x14ac:dyDescent="0.3">
      <c r="A76" s="14" t="s">
        <v>346</v>
      </c>
      <c r="B76" s="15" t="s">
        <v>271</v>
      </c>
      <c r="C76" s="16" t="s">
        <v>169</v>
      </c>
      <c r="D76" s="17">
        <f>D74*0.3</f>
        <v>69.349440000000001</v>
      </c>
      <c r="E76" s="18"/>
      <c r="F76" s="19"/>
    </row>
    <row r="77" spans="1:6" x14ac:dyDescent="0.3">
      <c r="A77" s="35">
        <v>5.2</v>
      </c>
      <c r="B77" s="36" t="s">
        <v>78</v>
      </c>
      <c r="C77" s="37"/>
      <c r="D77" s="38"/>
      <c r="E77" s="39"/>
      <c r="F77" s="40">
        <f>SUM(F78:F81)</f>
        <v>0</v>
      </c>
    </row>
    <row r="78" spans="1:6" ht="41.4" x14ac:dyDescent="0.3">
      <c r="A78" s="14" t="s">
        <v>347</v>
      </c>
      <c r="B78" s="15" t="s">
        <v>337</v>
      </c>
      <c r="C78" s="16" t="s">
        <v>169</v>
      </c>
      <c r="D78" s="17">
        <f>0.3*((6+0.2+0.2)*(17.6+1.6))</f>
        <v>36.864000000000004</v>
      </c>
      <c r="E78" s="18"/>
      <c r="F78" s="19"/>
    </row>
    <row r="79" spans="1:6" ht="41.4" x14ac:dyDescent="0.3">
      <c r="A79" s="14" t="s">
        <v>348</v>
      </c>
      <c r="B79" s="43" t="s">
        <v>331</v>
      </c>
      <c r="C79" s="16" t="s">
        <v>169</v>
      </c>
      <c r="D79" s="17">
        <f>2*(0.3*((1.835*2)+(6*2)))</f>
        <v>9.4019999999999992</v>
      </c>
      <c r="E79" s="18"/>
      <c r="F79" s="19"/>
    </row>
    <row r="80" spans="1:6" ht="55.2" x14ac:dyDescent="0.3">
      <c r="A80" s="14" t="s">
        <v>349</v>
      </c>
      <c r="B80" s="42" t="s">
        <v>277</v>
      </c>
      <c r="C80" s="16" t="s">
        <v>169</v>
      </c>
      <c r="D80" s="17">
        <f>3.06*48</f>
        <v>146.88</v>
      </c>
      <c r="E80" s="18"/>
      <c r="F80" s="19"/>
    </row>
    <row r="81" spans="1:6" ht="55.2" x14ac:dyDescent="0.3">
      <c r="A81" s="14" t="s">
        <v>350</v>
      </c>
      <c r="B81" s="42" t="s">
        <v>279</v>
      </c>
      <c r="C81" s="16" t="s">
        <v>169</v>
      </c>
      <c r="D81" s="17">
        <f>(12*0.45)+4.89</f>
        <v>10.29</v>
      </c>
      <c r="E81" s="18"/>
      <c r="F81" s="19"/>
    </row>
    <row r="82" spans="1:6" x14ac:dyDescent="0.3">
      <c r="A82" s="35">
        <v>5.3</v>
      </c>
      <c r="B82" s="36" t="s">
        <v>335</v>
      </c>
      <c r="C82" s="37"/>
      <c r="D82" s="38"/>
      <c r="E82" s="39"/>
      <c r="F82" s="40">
        <f>SUM(F83:F84)</f>
        <v>0</v>
      </c>
    </row>
    <row r="83" spans="1:6" ht="41.4" x14ac:dyDescent="0.3">
      <c r="A83" s="14" t="s">
        <v>351</v>
      </c>
      <c r="B83" s="22" t="s">
        <v>338</v>
      </c>
      <c r="C83" s="16" t="s">
        <v>58</v>
      </c>
      <c r="D83" s="17">
        <f>700*0.8*2</f>
        <v>1120</v>
      </c>
      <c r="E83" s="21"/>
      <c r="F83" s="19"/>
    </row>
    <row r="84" spans="1:6" ht="41.4" x14ac:dyDescent="0.3">
      <c r="A84" s="14" t="s">
        <v>352</v>
      </c>
      <c r="B84" s="15" t="s">
        <v>336</v>
      </c>
      <c r="C84" s="16" t="s">
        <v>314</v>
      </c>
      <c r="D84" s="17">
        <v>1</v>
      </c>
      <c r="E84" s="18"/>
      <c r="F84" s="19"/>
    </row>
    <row r="85" spans="1:6" x14ac:dyDescent="0.3">
      <c r="A85" s="8">
        <v>6</v>
      </c>
      <c r="B85" s="9" t="s">
        <v>57</v>
      </c>
      <c r="C85" s="10"/>
      <c r="D85" s="11"/>
      <c r="E85" s="12"/>
      <c r="F85" s="13">
        <f>SUM(F86,F91,F98)</f>
        <v>0</v>
      </c>
    </row>
    <row r="86" spans="1:6" x14ac:dyDescent="0.3">
      <c r="A86" s="35">
        <v>6.1</v>
      </c>
      <c r="B86" s="36" t="s">
        <v>76</v>
      </c>
      <c r="C86" s="37"/>
      <c r="D86" s="38"/>
      <c r="E86" s="39"/>
      <c r="F86" s="40">
        <f>SUM(F87:F90)</f>
        <v>0</v>
      </c>
    </row>
    <row r="87" spans="1:6" ht="55.2" x14ac:dyDescent="0.3">
      <c r="A87" s="14" t="s">
        <v>315</v>
      </c>
      <c r="B87" s="15" t="s">
        <v>77</v>
      </c>
      <c r="C87" s="16" t="s">
        <v>162</v>
      </c>
      <c r="D87" s="17">
        <f>(4.5+1.835+1.835+0.147+0.147)*(19.2+2+2)</f>
        <v>196.3648</v>
      </c>
      <c r="E87" s="18"/>
      <c r="F87" s="19"/>
    </row>
    <row r="88" spans="1:6" ht="69" x14ac:dyDescent="0.3">
      <c r="A88" s="14" t="s">
        <v>316</v>
      </c>
      <c r="B88" s="15" t="s">
        <v>342</v>
      </c>
      <c r="C88" s="16" t="s">
        <v>169</v>
      </c>
      <c r="D88" s="17">
        <f>D87*2.5</f>
        <v>490.91200000000003</v>
      </c>
      <c r="E88" s="18"/>
      <c r="F88" s="19"/>
    </row>
    <row r="89" spans="1:6" ht="41.4" x14ac:dyDescent="0.3">
      <c r="A89" s="14" t="s">
        <v>317</v>
      </c>
      <c r="B89" s="15" t="s">
        <v>332</v>
      </c>
      <c r="C89" s="16" t="s">
        <v>314</v>
      </c>
      <c r="D89" s="17">
        <v>1</v>
      </c>
      <c r="E89" s="18"/>
      <c r="F89" s="19"/>
    </row>
    <row r="90" spans="1:6" ht="41.4" x14ac:dyDescent="0.3">
      <c r="A90" s="14" t="s">
        <v>318</v>
      </c>
      <c r="B90" s="15" t="s">
        <v>271</v>
      </c>
      <c r="C90" s="16" t="s">
        <v>169</v>
      </c>
      <c r="D90" s="17">
        <f>D87*0.3</f>
        <v>58.909439999999996</v>
      </c>
      <c r="E90" s="18"/>
      <c r="F90" s="19"/>
    </row>
    <row r="91" spans="1:6" x14ac:dyDescent="0.3">
      <c r="A91" s="35">
        <v>6.2</v>
      </c>
      <c r="B91" s="36" t="s">
        <v>78</v>
      </c>
      <c r="C91" s="37"/>
      <c r="D91" s="38"/>
      <c r="E91" s="39"/>
      <c r="F91" s="40">
        <f>SUM(F92:F97)</f>
        <v>0</v>
      </c>
    </row>
    <row r="92" spans="1:6" ht="41.4" x14ac:dyDescent="0.3">
      <c r="A92" s="14" t="s">
        <v>319</v>
      </c>
      <c r="B92" s="15" t="s">
        <v>339</v>
      </c>
      <c r="C92" s="16" t="s">
        <v>169</v>
      </c>
      <c r="D92" s="17">
        <f>0.3*((4.5+0.2+0.2)*(17.6+1.6))</f>
        <v>28.224000000000007</v>
      </c>
      <c r="E92" s="18"/>
      <c r="F92" s="19"/>
    </row>
    <row r="93" spans="1:6" ht="41.4" x14ac:dyDescent="0.3">
      <c r="A93" s="14" t="s">
        <v>321</v>
      </c>
      <c r="B93" s="43" t="s">
        <v>340</v>
      </c>
      <c r="C93" s="16" t="s">
        <v>169</v>
      </c>
      <c r="D93" s="17">
        <f>2*(0.3*((1.835*2)+(4.5*2)))</f>
        <v>7.6019999999999994</v>
      </c>
      <c r="E93" s="18"/>
      <c r="F93" s="19"/>
    </row>
    <row r="94" spans="1:6" ht="55.2" x14ac:dyDescent="0.3">
      <c r="A94" s="14" t="s">
        <v>322</v>
      </c>
      <c r="B94" s="42" t="s">
        <v>277</v>
      </c>
      <c r="C94" s="16" t="s">
        <v>169</v>
      </c>
      <c r="D94" s="17">
        <f>3.06*24</f>
        <v>73.44</v>
      </c>
      <c r="E94" s="18"/>
      <c r="F94" s="19"/>
    </row>
    <row r="95" spans="1:6" ht="82.8" x14ac:dyDescent="0.3">
      <c r="A95" s="14" t="s">
        <v>324</v>
      </c>
      <c r="B95" s="43" t="s">
        <v>333</v>
      </c>
      <c r="C95" s="44" t="s">
        <v>169</v>
      </c>
      <c r="D95" s="17">
        <f>3.06*7</f>
        <v>21.42</v>
      </c>
      <c r="E95" s="18"/>
      <c r="F95" s="19"/>
    </row>
    <row r="96" spans="1:6" ht="55.2" x14ac:dyDescent="0.3">
      <c r="A96" s="14" t="s">
        <v>353</v>
      </c>
      <c r="B96" s="42" t="s">
        <v>279</v>
      </c>
      <c r="C96" s="16" t="s">
        <v>169</v>
      </c>
      <c r="D96" s="17">
        <f>(9*0.45)+4.89</f>
        <v>8.94</v>
      </c>
      <c r="E96" s="18"/>
      <c r="F96" s="19"/>
    </row>
    <row r="97" spans="1:6" ht="27.6" x14ac:dyDescent="0.3">
      <c r="A97" s="14" t="s">
        <v>354</v>
      </c>
      <c r="B97" s="15" t="s">
        <v>334</v>
      </c>
      <c r="C97" s="16" t="s">
        <v>162</v>
      </c>
      <c r="D97" s="17">
        <f>(4.5+1.835+1.835+0.147+0.147)*(19.2+2+2)</f>
        <v>196.3648</v>
      </c>
      <c r="E97" s="18"/>
      <c r="F97" s="19"/>
    </row>
    <row r="98" spans="1:6" x14ac:dyDescent="0.3">
      <c r="A98" s="35">
        <v>6.3</v>
      </c>
      <c r="B98" s="36" t="s">
        <v>84</v>
      </c>
      <c r="C98" s="37"/>
      <c r="D98" s="38"/>
      <c r="E98" s="39"/>
      <c r="F98" s="40">
        <f>SUM(F99:F104)</f>
        <v>0</v>
      </c>
    </row>
    <row r="99" spans="1:6" ht="27.6" x14ac:dyDescent="0.3">
      <c r="A99" s="14" t="s">
        <v>325</v>
      </c>
      <c r="B99" s="43" t="s">
        <v>86</v>
      </c>
      <c r="C99" s="16" t="s">
        <v>85</v>
      </c>
      <c r="D99" s="17">
        <f>228*3</f>
        <v>684</v>
      </c>
      <c r="E99" s="20"/>
      <c r="F99" s="19"/>
    </row>
    <row r="100" spans="1:6" ht="27.6" x14ac:dyDescent="0.3">
      <c r="A100" s="14" t="s">
        <v>326</v>
      </c>
      <c r="B100" s="15" t="s">
        <v>87</v>
      </c>
      <c r="C100" s="16" t="s">
        <v>85</v>
      </c>
      <c r="D100" s="17">
        <f>54*3</f>
        <v>162</v>
      </c>
      <c r="E100" s="20"/>
      <c r="F100" s="19"/>
    </row>
    <row r="101" spans="1:6" ht="27.6" x14ac:dyDescent="0.3">
      <c r="A101" s="14" t="s">
        <v>327</v>
      </c>
      <c r="B101" s="15" t="s">
        <v>88</v>
      </c>
      <c r="C101" s="16" t="s">
        <v>85</v>
      </c>
      <c r="D101" s="17">
        <f>25*3</f>
        <v>75</v>
      </c>
      <c r="E101" s="20"/>
      <c r="F101" s="19"/>
    </row>
    <row r="102" spans="1:6" ht="27.6" x14ac:dyDescent="0.3">
      <c r="A102" s="14" t="s">
        <v>328</v>
      </c>
      <c r="B102" s="43" t="s">
        <v>89</v>
      </c>
      <c r="C102" s="16" t="s">
        <v>85</v>
      </c>
      <c r="D102" s="17">
        <f>6*3</f>
        <v>18</v>
      </c>
      <c r="E102" s="20"/>
      <c r="F102" s="19"/>
    </row>
    <row r="103" spans="1:6" ht="27.6" x14ac:dyDescent="0.3">
      <c r="A103" s="14" t="s">
        <v>329</v>
      </c>
      <c r="B103" s="42" t="s">
        <v>90</v>
      </c>
      <c r="C103" s="16" t="s">
        <v>85</v>
      </c>
      <c r="D103" s="17">
        <f>21*3</f>
        <v>63</v>
      </c>
      <c r="E103" s="20"/>
      <c r="F103" s="19"/>
    </row>
    <row r="104" spans="1:6" ht="27.6" x14ac:dyDescent="0.3">
      <c r="A104" s="14" t="s">
        <v>330</v>
      </c>
      <c r="B104" s="43" t="s">
        <v>91</v>
      </c>
      <c r="C104" s="16" t="s">
        <v>85</v>
      </c>
      <c r="D104" s="17">
        <f>19*3</f>
        <v>57</v>
      </c>
      <c r="E104" s="20"/>
      <c r="F104" s="19"/>
    </row>
    <row r="105" spans="1:6" x14ac:dyDescent="0.3">
      <c r="A105" s="29" t="s">
        <v>33</v>
      </c>
      <c r="B105" s="30"/>
      <c r="C105" s="29"/>
      <c r="D105" s="29"/>
      <c r="E105" s="29"/>
      <c r="F105" s="31">
        <f>SUM(F11,F21,F38,F55,F72,F85)</f>
        <v>0</v>
      </c>
    </row>
  </sheetData>
  <mergeCells count="2">
    <mergeCell ref="A7:F8"/>
    <mergeCell ref="A9:F9"/>
  </mergeCells>
  <phoneticPr fontId="17" type="noConversion"/>
  <pageMargins left="0.7" right="0.7" top="0.75" bottom="0.75" header="0.3" footer="0.3"/>
  <pageSetup scale="91" fitToHeight="0" orientation="landscape" r:id="rId1"/>
  <headerFooter>
    <oddFooter>&amp;C&amp;"+,Regular"&amp;10Page &amp;P of &amp;N&amp;R&amp;"+,Regular"&amp;10Approved by:
Wafaa Alshaaban
Project Officer</oddFooter>
  </headerFooter>
  <rowBreaks count="9" manualBreakCount="9">
    <brk id="13" max="5" man="1"/>
    <brk id="25" max="5" man="1"/>
    <brk id="37" max="5" man="1"/>
    <brk id="47" max="5" man="1"/>
    <brk id="59" max="5" man="1"/>
    <brk id="71" max="5" man="1"/>
    <brk id="81" max="5" man="1"/>
    <brk id="90" max="5" man="1"/>
    <brk id="97" max="5" man="1"/>
  </rowBreak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49C5D-3A68-4314-8DB3-A43FDBAF1BEC}">
  <sheetPr>
    <tabColor theme="4" tint="0.39997558519241921"/>
    <pageSetUpPr fitToPage="1"/>
  </sheetPr>
  <dimension ref="A1:F21"/>
  <sheetViews>
    <sheetView zoomScaleNormal="100" zoomScaleSheetLayoutView="110" workbookViewId="0">
      <selection activeCell="D15" sqref="D15"/>
    </sheetView>
  </sheetViews>
  <sheetFormatPr defaultRowHeight="14.4" x14ac:dyDescent="0.3"/>
  <cols>
    <col min="1" max="1" width="6.5546875" customWidth="1"/>
    <col min="2" max="2" width="14.33203125" customWidth="1"/>
    <col min="3" max="3" width="15.6640625" bestFit="1" customWidth="1"/>
    <col min="4" max="4" width="51.6640625" customWidth="1"/>
    <col min="5" max="5" width="38.6640625" bestFit="1" customWidth="1"/>
    <col min="6" max="6" width="23.44140625" customWidth="1"/>
  </cols>
  <sheetData>
    <row r="1" spans="1:6" x14ac:dyDescent="0.3">
      <c r="A1" s="1" t="s">
        <v>0</v>
      </c>
    </row>
    <row r="2" spans="1:6" x14ac:dyDescent="0.3">
      <c r="A2" t="s">
        <v>1</v>
      </c>
    </row>
    <row r="3" spans="1:6" x14ac:dyDescent="0.3">
      <c r="A3" t="s">
        <v>2</v>
      </c>
    </row>
    <row r="4" spans="1:6" x14ac:dyDescent="0.3">
      <c r="A4" t="s">
        <v>3</v>
      </c>
    </row>
    <row r="5" spans="1:6" x14ac:dyDescent="0.3">
      <c r="A5" t="s">
        <v>343</v>
      </c>
    </row>
    <row r="7" spans="1:6" ht="14.4" customHeight="1" x14ac:dyDescent="0.3">
      <c r="A7" s="118" t="s">
        <v>39</v>
      </c>
      <c r="B7" s="118"/>
      <c r="C7" s="118"/>
      <c r="D7" s="118"/>
      <c r="E7" s="118"/>
      <c r="F7" s="118"/>
    </row>
    <row r="8" spans="1:6" ht="14.4" customHeight="1" x14ac:dyDescent="0.3">
      <c r="A8" s="118"/>
      <c r="B8" s="118"/>
      <c r="C8" s="118"/>
      <c r="D8" s="118"/>
      <c r="E8" s="118"/>
      <c r="F8" s="118"/>
    </row>
    <row r="9" spans="1:6" x14ac:dyDescent="0.3">
      <c r="A9" s="2" t="s">
        <v>4</v>
      </c>
      <c r="B9" s="2" t="s">
        <v>5</v>
      </c>
      <c r="C9" s="2" t="s">
        <v>6</v>
      </c>
      <c r="D9" s="2" t="s">
        <v>7</v>
      </c>
      <c r="E9" s="2" t="s">
        <v>8</v>
      </c>
      <c r="F9" s="2" t="s">
        <v>40</v>
      </c>
    </row>
    <row r="10" spans="1:6" x14ac:dyDescent="0.3">
      <c r="A10" s="6"/>
      <c r="B10" s="6"/>
      <c r="C10" s="6"/>
      <c r="D10" s="7" t="s">
        <v>9</v>
      </c>
      <c r="E10" s="6"/>
      <c r="F10" s="6"/>
    </row>
    <row r="11" spans="1:6" s="27" customFormat="1" ht="27.6" x14ac:dyDescent="0.3">
      <c r="A11" s="44">
        <v>1</v>
      </c>
      <c r="B11" s="45" t="s">
        <v>10</v>
      </c>
      <c r="C11" s="46" t="s">
        <v>11</v>
      </c>
      <c r="D11" s="43" t="s">
        <v>12</v>
      </c>
      <c r="E11" s="45" t="s">
        <v>13</v>
      </c>
      <c r="F11" s="45" t="s">
        <v>41</v>
      </c>
    </row>
    <row r="12" spans="1:6" x14ac:dyDescent="0.3">
      <c r="A12" s="6"/>
      <c r="B12" s="6"/>
      <c r="C12" s="6"/>
      <c r="D12" s="7" t="s">
        <v>14</v>
      </c>
      <c r="E12" s="6"/>
      <c r="F12" s="6"/>
    </row>
    <row r="13" spans="1:6" s="27" customFormat="1" ht="27.6" x14ac:dyDescent="0.3">
      <c r="A13" s="44">
        <v>2</v>
      </c>
      <c r="B13" s="45" t="s">
        <v>15</v>
      </c>
      <c r="C13" s="46" t="s">
        <v>92</v>
      </c>
      <c r="D13" s="45" t="s">
        <v>16</v>
      </c>
      <c r="E13" s="45" t="s">
        <v>17</v>
      </c>
      <c r="F13" s="45" t="s">
        <v>41</v>
      </c>
    </row>
    <row r="14" spans="1:6" x14ac:dyDescent="0.3">
      <c r="A14" s="6"/>
      <c r="B14" s="6"/>
      <c r="C14" s="6"/>
      <c r="D14" s="7" t="s">
        <v>18</v>
      </c>
      <c r="E14" s="6"/>
      <c r="F14" s="6"/>
    </row>
    <row r="15" spans="1:6" s="27" customFormat="1" ht="27.6" x14ac:dyDescent="0.3">
      <c r="A15" s="44">
        <v>3</v>
      </c>
      <c r="B15" s="45" t="s">
        <v>19</v>
      </c>
      <c r="C15" s="46" t="s">
        <v>357</v>
      </c>
      <c r="D15" s="45" t="s">
        <v>20</v>
      </c>
      <c r="E15" s="45" t="s">
        <v>17</v>
      </c>
      <c r="F15" s="45" t="s">
        <v>41</v>
      </c>
    </row>
    <row r="16" spans="1:6" s="27" customFormat="1" ht="27.6" x14ac:dyDescent="0.3">
      <c r="A16" s="44">
        <v>4</v>
      </c>
      <c r="B16" s="45" t="s">
        <v>21</v>
      </c>
      <c r="C16" s="46" t="s">
        <v>358</v>
      </c>
      <c r="D16" s="45" t="s">
        <v>22</v>
      </c>
      <c r="E16" s="45" t="s">
        <v>23</v>
      </c>
      <c r="F16" s="45" t="s">
        <v>41</v>
      </c>
    </row>
    <row r="17" spans="1:6" x14ac:dyDescent="0.3">
      <c r="A17" s="6"/>
      <c r="B17" s="6"/>
      <c r="C17" s="6"/>
      <c r="D17" s="7" t="s">
        <v>24</v>
      </c>
      <c r="E17" s="6"/>
      <c r="F17" s="6"/>
    </row>
    <row r="18" spans="1:6" s="27" customFormat="1" ht="27.6" x14ac:dyDescent="0.3">
      <c r="A18" s="44">
        <v>5</v>
      </c>
      <c r="B18" s="45" t="s">
        <v>25</v>
      </c>
      <c r="C18" s="46" t="s">
        <v>26</v>
      </c>
      <c r="D18" s="45" t="s">
        <v>27</v>
      </c>
      <c r="E18" s="43" t="s">
        <v>28</v>
      </c>
      <c r="F18" s="45" t="s">
        <v>42</v>
      </c>
    </row>
    <row r="19" spans="1:6" x14ac:dyDescent="0.3">
      <c r="A19" s="6"/>
      <c r="B19" s="6"/>
      <c r="C19" s="6"/>
      <c r="D19" s="7" t="s">
        <v>29</v>
      </c>
      <c r="E19" s="6"/>
      <c r="F19" s="6"/>
    </row>
    <row r="20" spans="1:6" s="27" customFormat="1" ht="27.6" x14ac:dyDescent="0.3">
      <c r="A20" s="44">
        <v>6</v>
      </c>
      <c r="B20" s="45" t="s">
        <v>30</v>
      </c>
      <c r="C20" s="46" t="s">
        <v>43</v>
      </c>
      <c r="D20" s="43" t="s">
        <v>31</v>
      </c>
      <c r="E20" s="45" t="s">
        <v>32</v>
      </c>
      <c r="F20" s="45" t="s">
        <v>41</v>
      </c>
    </row>
    <row r="21" spans="1:6" x14ac:dyDescent="0.3">
      <c r="A21" s="5"/>
      <c r="B21" s="5"/>
      <c r="C21" s="5"/>
      <c r="D21" s="5"/>
      <c r="E21" s="5"/>
      <c r="F21" s="5"/>
    </row>
  </sheetData>
  <mergeCells count="1">
    <mergeCell ref="A7:F8"/>
  </mergeCells>
  <pageMargins left="0.7" right="0.7" top="0.75" bottom="0.75" header="0.3" footer="0.3"/>
  <pageSetup scale="81" orientation="landscape" r:id="rId1"/>
  <headerFooter>
    <oddFooter>&amp;C&amp;"+,Regular"&amp;10Page &amp;P of &amp;N&amp;R&amp;"+,Regular"&amp;10Approved by:
Wafaa Alshaaban
Project Officer</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8C210-FF99-49D8-8635-5217EB51E56C}">
  <sheetPr>
    <tabColor theme="4" tint="-0.249977111117893"/>
    <pageSetUpPr fitToPage="1"/>
  </sheetPr>
  <dimension ref="A1:C43"/>
  <sheetViews>
    <sheetView view="pageBreakPreview" zoomScaleNormal="100" zoomScaleSheetLayoutView="100" workbookViewId="0">
      <selection activeCell="F10" sqref="F10"/>
    </sheetView>
  </sheetViews>
  <sheetFormatPr defaultColWidth="8.6640625" defaultRowHeight="14.4" x14ac:dyDescent="0.3"/>
  <cols>
    <col min="1" max="1" width="101.88671875" customWidth="1"/>
    <col min="2" max="2" width="17.44140625" customWidth="1"/>
    <col min="3" max="3" width="22.33203125" style="4" bestFit="1" customWidth="1"/>
  </cols>
  <sheetData>
    <row r="1" spans="1:3" x14ac:dyDescent="0.3">
      <c r="A1" s="1" t="s">
        <v>0</v>
      </c>
      <c r="B1" s="1"/>
      <c r="C1"/>
    </row>
    <row r="2" spans="1:3" x14ac:dyDescent="0.3">
      <c r="A2" t="s">
        <v>1</v>
      </c>
      <c r="C2"/>
    </row>
    <row r="3" spans="1:3" x14ac:dyDescent="0.3">
      <c r="A3" t="s">
        <v>2</v>
      </c>
      <c r="C3"/>
    </row>
    <row r="4" spans="1:3" x14ac:dyDescent="0.3">
      <c r="A4" t="s">
        <v>60</v>
      </c>
      <c r="C4"/>
    </row>
    <row r="5" spans="1:3" x14ac:dyDescent="0.3">
      <c r="A5" t="s">
        <v>343</v>
      </c>
      <c r="C5"/>
    </row>
    <row r="6" spans="1:3" x14ac:dyDescent="0.3">
      <c r="C6"/>
    </row>
    <row r="7" spans="1:3" s="26" customFormat="1" ht="33.75" customHeight="1" x14ac:dyDescent="0.3">
      <c r="A7" s="125" t="s">
        <v>47</v>
      </c>
      <c r="B7" s="125"/>
      <c r="C7" s="125"/>
    </row>
    <row r="8" spans="1:3" s="27" customFormat="1" ht="30" customHeight="1" x14ac:dyDescent="0.3">
      <c r="A8" s="126" t="s">
        <v>52</v>
      </c>
      <c r="B8" s="127"/>
      <c r="C8" s="128" t="s">
        <v>45</v>
      </c>
    </row>
    <row r="9" spans="1:3" s="27" customFormat="1" ht="30" customHeight="1" x14ac:dyDescent="0.3">
      <c r="A9" s="99" t="s">
        <v>50</v>
      </c>
      <c r="B9" s="28" t="s">
        <v>51</v>
      </c>
      <c r="C9" s="100" t="s">
        <v>49</v>
      </c>
    </row>
    <row r="10" spans="1:3" s="27" customFormat="1" ht="30" customHeight="1" x14ac:dyDescent="0.3">
      <c r="A10" s="101" t="s">
        <v>61</v>
      </c>
      <c r="B10" s="32">
        <v>14</v>
      </c>
      <c r="C10" s="102" t="s">
        <v>46</v>
      </c>
    </row>
    <row r="11" spans="1:3" s="27" customFormat="1" ht="30" customHeight="1" x14ac:dyDescent="0.3">
      <c r="A11" s="101" t="s">
        <v>62</v>
      </c>
      <c r="B11" s="32" t="s">
        <v>63</v>
      </c>
      <c r="C11" s="102" t="s">
        <v>46</v>
      </c>
    </row>
    <row r="12" spans="1:3" s="27" customFormat="1" ht="30" customHeight="1" x14ac:dyDescent="0.3">
      <c r="A12" s="101" t="s">
        <v>48</v>
      </c>
      <c r="B12" s="32">
        <v>1</v>
      </c>
      <c r="C12" s="102" t="s">
        <v>46</v>
      </c>
    </row>
    <row r="13" spans="1:3" s="27" customFormat="1" ht="30" customHeight="1" x14ac:dyDescent="0.3">
      <c r="A13" s="101" t="s">
        <v>64</v>
      </c>
      <c r="B13" s="32">
        <v>2</v>
      </c>
      <c r="C13" s="102" t="s">
        <v>46</v>
      </c>
    </row>
    <row r="14" spans="1:3" s="27" customFormat="1" ht="30" customHeight="1" x14ac:dyDescent="0.3">
      <c r="A14" s="101" t="s">
        <v>65</v>
      </c>
      <c r="B14" s="32">
        <v>7</v>
      </c>
      <c r="C14" s="102" t="s">
        <v>46</v>
      </c>
    </row>
    <row r="15" spans="1:3" s="27" customFormat="1" ht="30" customHeight="1" x14ac:dyDescent="0.3">
      <c r="A15" s="101" t="s">
        <v>66</v>
      </c>
      <c r="B15" s="32" t="s">
        <v>67</v>
      </c>
      <c r="C15" s="102" t="s">
        <v>46</v>
      </c>
    </row>
    <row r="16" spans="1:3" s="27" customFormat="1" ht="30" customHeight="1" x14ac:dyDescent="0.3">
      <c r="A16" s="101" t="s">
        <v>68</v>
      </c>
      <c r="B16" s="32">
        <v>7</v>
      </c>
      <c r="C16" s="102" t="s">
        <v>46</v>
      </c>
    </row>
    <row r="17" spans="1:3" s="27" customFormat="1" ht="30" customHeight="1" x14ac:dyDescent="0.3">
      <c r="A17" s="101" t="s">
        <v>69</v>
      </c>
      <c r="B17" s="32">
        <v>2</v>
      </c>
      <c r="C17" s="102" t="s">
        <v>46</v>
      </c>
    </row>
    <row r="18" spans="1:3" s="27" customFormat="1" ht="30" customHeight="1" x14ac:dyDescent="0.3">
      <c r="A18" s="101" t="s">
        <v>70</v>
      </c>
      <c r="B18" s="32">
        <v>3</v>
      </c>
      <c r="C18" s="102" t="s">
        <v>46</v>
      </c>
    </row>
    <row r="19" spans="1:3" s="27" customFormat="1" ht="30" customHeight="1" x14ac:dyDescent="0.3">
      <c r="A19" s="103" t="s">
        <v>71</v>
      </c>
      <c r="B19" s="33">
        <v>2</v>
      </c>
      <c r="C19" s="102" t="s">
        <v>46</v>
      </c>
    </row>
    <row r="20" spans="1:3" s="27" customFormat="1" ht="30" customHeight="1" x14ac:dyDescent="0.3">
      <c r="A20" s="101" t="s">
        <v>72</v>
      </c>
      <c r="B20" s="32">
        <v>2</v>
      </c>
      <c r="C20" s="102" t="s">
        <v>46</v>
      </c>
    </row>
    <row r="21" spans="1:3" s="27" customFormat="1" ht="30" customHeight="1" x14ac:dyDescent="0.3">
      <c r="A21" s="103" t="s">
        <v>73</v>
      </c>
      <c r="B21" s="33">
        <v>7</v>
      </c>
      <c r="C21" s="104" t="s">
        <v>46</v>
      </c>
    </row>
    <row r="22" spans="1:3" s="27" customFormat="1" ht="30" customHeight="1" x14ac:dyDescent="0.3">
      <c r="A22" s="119" t="s">
        <v>355</v>
      </c>
      <c r="B22" s="120"/>
      <c r="C22" s="121" t="s">
        <v>45</v>
      </c>
    </row>
    <row r="23" spans="1:3" s="27" customFormat="1" ht="30" customHeight="1" x14ac:dyDescent="0.3">
      <c r="A23" s="99" t="s">
        <v>50</v>
      </c>
      <c r="B23" s="28" t="s">
        <v>51</v>
      </c>
      <c r="C23" s="100" t="s">
        <v>49</v>
      </c>
    </row>
    <row r="24" spans="1:3" s="27" customFormat="1" ht="30" customHeight="1" x14ac:dyDescent="0.3">
      <c r="A24" s="103" t="s">
        <v>61</v>
      </c>
      <c r="B24" s="33">
        <v>14</v>
      </c>
      <c r="C24" s="104" t="s">
        <v>46</v>
      </c>
    </row>
    <row r="25" spans="1:3" s="27" customFormat="1" ht="30" customHeight="1" x14ac:dyDescent="0.3">
      <c r="A25" s="103" t="s">
        <v>62</v>
      </c>
      <c r="B25" s="33" t="s">
        <v>63</v>
      </c>
      <c r="C25" s="104" t="s">
        <v>46</v>
      </c>
    </row>
    <row r="26" spans="1:3" s="27" customFormat="1" ht="30" customHeight="1" x14ac:dyDescent="0.3">
      <c r="A26" s="103" t="s">
        <v>48</v>
      </c>
      <c r="B26" s="33">
        <v>2</v>
      </c>
      <c r="C26" s="104" t="s">
        <v>46</v>
      </c>
    </row>
    <row r="27" spans="1:3" s="27" customFormat="1" ht="30" customHeight="1" x14ac:dyDescent="0.3">
      <c r="A27" s="103" t="s">
        <v>64</v>
      </c>
      <c r="B27" s="33">
        <v>2</v>
      </c>
      <c r="C27" s="104" t="s">
        <v>46</v>
      </c>
    </row>
    <row r="28" spans="1:3" s="27" customFormat="1" ht="30" customHeight="1" x14ac:dyDescent="0.3">
      <c r="A28" s="103" t="s">
        <v>65</v>
      </c>
      <c r="B28" s="33">
        <v>7</v>
      </c>
      <c r="C28" s="104" t="s">
        <v>46</v>
      </c>
    </row>
    <row r="29" spans="1:3" s="27" customFormat="1" ht="30" customHeight="1" x14ac:dyDescent="0.3">
      <c r="A29" s="103" t="s">
        <v>66</v>
      </c>
      <c r="B29" s="33" t="s">
        <v>67</v>
      </c>
      <c r="C29" s="104" t="s">
        <v>46</v>
      </c>
    </row>
    <row r="30" spans="1:3" s="27" customFormat="1" ht="30" customHeight="1" x14ac:dyDescent="0.3">
      <c r="A30" s="103" t="s">
        <v>68</v>
      </c>
      <c r="B30" s="33">
        <v>7</v>
      </c>
      <c r="C30" s="104" t="s">
        <v>46</v>
      </c>
    </row>
    <row r="31" spans="1:3" s="27" customFormat="1" ht="30" customHeight="1" x14ac:dyDescent="0.3">
      <c r="A31" s="103" t="s">
        <v>70</v>
      </c>
      <c r="B31" s="33">
        <v>3</v>
      </c>
      <c r="C31" s="104" t="s">
        <v>46</v>
      </c>
    </row>
    <row r="32" spans="1:3" s="27" customFormat="1" ht="30" customHeight="1" x14ac:dyDescent="0.3">
      <c r="A32" s="103" t="s">
        <v>71</v>
      </c>
      <c r="B32" s="33">
        <v>2</v>
      </c>
      <c r="C32" s="104" t="s">
        <v>46</v>
      </c>
    </row>
    <row r="33" spans="1:3" s="27" customFormat="1" ht="30" customHeight="1" x14ac:dyDescent="0.3">
      <c r="A33" s="103" t="s">
        <v>72</v>
      </c>
      <c r="B33" s="33">
        <v>2</v>
      </c>
      <c r="C33" s="104" t="s">
        <v>46</v>
      </c>
    </row>
    <row r="34" spans="1:3" s="27" customFormat="1" ht="30" customHeight="1" x14ac:dyDescent="0.3">
      <c r="A34" s="103" t="s">
        <v>73</v>
      </c>
      <c r="B34" s="33">
        <v>7</v>
      </c>
      <c r="C34" s="104" t="s">
        <v>46</v>
      </c>
    </row>
    <row r="35" spans="1:3" ht="30" customHeight="1" x14ac:dyDescent="0.3">
      <c r="A35" s="122" t="s">
        <v>356</v>
      </c>
      <c r="B35" s="123"/>
      <c r="C35" s="124" t="s">
        <v>45</v>
      </c>
    </row>
    <row r="36" spans="1:3" ht="30" customHeight="1" x14ac:dyDescent="0.3">
      <c r="A36" s="99" t="s">
        <v>50</v>
      </c>
      <c r="B36" s="28" t="s">
        <v>51</v>
      </c>
      <c r="C36" s="100" t="s">
        <v>49</v>
      </c>
    </row>
    <row r="37" spans="1:3" ht="30" customHeight="1" x14ac:dyDescent="0.3">
      <c r="A37" s="105" t="s">
        <v>61</v>
      </c>
      <c r="B37" s="34">
        <v>14</v>
      </c>
      <c r="C37" s="102" t="s">
        <v>46</v>
      </c>
    </row>
    <row r="38" spans="1:3" ht="30" customHeight="1" x14ac:dyDescent="0.3">
      <c r="A38" s="105" t="s">
        <v>62</v>
      </c>
      <c r="B38" s="34">
        <v>2</v>
      </c>
      <c r="C38" s="102" t="s">
        <v>46</v>
      </c>
    </row>
    <row r="39" spans="1:3" ht="30" customHeight="1" x14ac:dyDescent="0.3">
      <c r="A39" s="105" t="s">
        <v>48</v>
      </c>
      <c r="B39" s="34">
        <v>14</v>
      </c>
      <c r="C39" s="102" t="s">
        <v>46</v>
      </c>
    </row>
    <row r="40" spans="1:3" ht="30" customHeight="1" x14ac:dyDescent="0.3">
      <c r="A40" s="105" t="s">
        <v>74</v>
      </c>
      <c r="B40" s="34">
        <v>7</v>
      </c>
      <c r="C40" s="102" t="s">
        <v>46</v>
      </c>
    </row>
    <row r="41" spans="1:3" ht="30" customHeight="1" x14ac:dyDescent="0.3">
      <c r="A41" s="105" t="s">
        <v>75</v>
      </c>
      <c r="B41" s="34">
        <v>2</v>
      </c>
      <c r="C41" s="102" t="s">
        <v>46</v>
      </c>
    </row>
    <row r="42" spans="1:3" ht="30" customHeight="1" x14ac:dyDescent="0.3">
      <c r="A42" s="105" t="s">
        <v>73</v>
      </c>
      <c r="B42" s="34">
        <v>7</v>
      </c>
      <c r="C42" s="102" t="s">
        <v>46</v>
      </c>
    </row>
    <row r="43" spans="1:3" ht="30" customHeight="1" x14ac:dyDescent="0.3">
      <c r="A43" s="106"/>
      <c r="B43" s="107"/>
      <c r="C43" s="108"/>
    </row>
  </sheetData>
  <mergeCells count="4">
    <mergeCell ref="A22:C22"/>
    <mergeCell ref="A35:C35"/>
    <mergeCell ref="A7:C7"/>
    <mergeCell ref="A8:C8"/>
  </mergeCells>
  <printOptions horizontalCentered="1"/>
  <pageMargins left="0.196850393700787" right="0.196850393700787" top="0.196850393700787" bottom="0.196850393700787" header="0.31496062992126" footer="0.31496062992126"/>
  <pageSetup paperSize="9" fitToHeight="0" orientation="landscape" r:id="rId1"/>
  <headerFooter>
    <oddFooter>&amp;C&amp;"+,Regular"&amp;10Page &amp;P of &amp;N&amp;R&amp;"+,Regular"&amp;10Approved by:
Wafaa Alshaaban
Project Officer</oddFooter>
  </headerFooter>
  <rowBreaks count="3" manualBreakCount="3">
    <brk id="15" max="2" man="1"/>
    <brk id="21" max="2" man="1"/>
    <brk id="34" max="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994483-CC31-45B0-A82F-2F0DED0CA2E9}">
  <sheetPr>
    <tabColor theme="4" tint="-0.499984740745262"/>
    <pageSetUpPr fitToPage="1"/>
  </sheetPr>
  <dimension ref="A1:B63"/>
  <sheetViews>
    <sheetView view="pageBreakPreview" topLeftCell="A7" zoomScale="90" zoomScaleNormal="130" zoomScaleSheetLayoutView="90" workbookViewId="0">
      <selection activeCell="C17" sqref="C17"/>
    </sheetView>
  </sheetViews>
  <sheetFormatPr defaultColWidth="9.109375" defaultRowHeight="14.4" x14ac:dyDescent="0.3"/>
  <cols>
    <col min="1" max="1" width="10.88671875" style="41" customWidth="1"/>
    <col min="2" max="2" width="118.5546875" style="41" customWidth="1"/>
    <col min="3" max="3" width="71.33203125" style="41" customWidth="1"/>
    <col min="4" max="16384" width="9.109375" style="41"/>
  </cols>
  <sheetData>
    <row r="1" spans="1:2" customFormat="1" x14ac:dyDescent="0.3">
      <c r="A1" s="1" t="s">
        <v>0</v>
      </c>
    </row>
    <row r="2" spans="1:2" customFormat="1" x14ac:dyDescent="0.3">
      <c r="A2" t="s">
        <v>1</v>
      </c>
    </row>
    <row r="3" spans="1:2" customFormat="1" x14ac:dyDescent="0.3">
      <c r="A3" t="s">
        <v>2</v>
      </c>
    </row>
    <row r="4" spans="1:2" customFormat="1" x14ac:dyDescent="0.3">
      <c r="A4" t="s">
        <v>236</v>
      </c>
    </row>
    <row r="5" spans="1:2" customFormat="1" x14ac:dyDescent="0.3">
      <c r="A5" t="s">
        <v>343</v>
      </c>
    </row>
    <row r="6" spans="1:2" customFormat="1" x14ac:dyDescent="0.3"/>
    <row r="7" spans="1:2" ht="36.75" customHeight="1" x14ac:dyDescent="0.3">
      <c r="A7" s="135" t="s">
        <v>237</v>
      </c>
      <c r="B7" s="136"/>
    </row>
    <row r="8" spans="1:2" s="3" customFormat="1" ht="24.75" customHeight="1" x14ac:dyDescent="0.3">
      <c r="A8" s="85" t="s">
        <v>34</v>
      </c>
      <c r="B8" s="87" t="s">
        <v>150</v>
      </c>
    </row>
    <row r="9" spans="1:2" s="3" customFormat="1" ht="55.2" x14ac:dyDescent="0.3">
      <c r="A9" s="137" t="s">
        <v>201</v>
      </c>
      <c r="B9" s="86" t="s">
        <v>202</v>
      </c>
    </row>
    <row r="10" spans="1:2" s="3" customFormat="1" ht="41.4" x14ac:dyDescent="0.3">
      <c r="A10" s="138"/>
      <c r="B10" s="88" t="s">
        <v>203</v>
      </c>
    </row>
    <row r="11" spans="1:2" s="3" customFormat="1" ht="41.4" x14ac:dyDescent="0.3">
      <c r="A11" s="138"/>
      <c r="B11" s="86" t="s">
        <v>204</v>
      </c>
    </row>
    <row r="12" spans="1:2" s="3" customFormat="1" ht="55.2" x14ac:dyDescent="0.3">
      <c r="A12" s="138"/>
      <c r="B12" s="88" t="s">
        <v>205</v>
      </c>
    </row>
    <row r="13" spans="1:2" s="3" customFormat="1" x14ac:dyDescent="0.3">
      <c r="A13" s="138"/>
      <c r="B13" s="86" t="s">
        <v>206</v>
      </c>
    </row>
    <row r="14" spans="1:2" s="3" customFormat="1" ht="27.6" x14ac:dyDescent="0.3">
      <c r="A14" s="139"/>
      <c r="B14" s="86" t="s">
        <v>207</v>
      </c>
    </row>
    <row r="15" spans="1:2" s="3" customFormat="1" ht="14.4" customHeight="1" x14ac:dyDescent="0.3">
      <c r="A15" s="137" t="s">
        <v>208</v>
      </c>
      <c r="B15" s="88" t="s">
        <v>209</v>
      </c>
    </row>
    <row r="16" spans="1:2" s="3" customFormat="1" ht="41.4" x14ac:dyDescent="0.3">
      <c r="A16" s="138"/>
      <c r="B16" s="86" t="s">
        <v>210</v>
      </c>
    </row>
    <row r="17" spans="1:2" s="3" customFormat="1" ht="41.4" x14ac:dyDescent="0.3">
      <c r="A17" s="138"/>
      <c r="B17" s="88" t="s">
        <v>211</v>
      </c>
    </row>
    <row r="18" spans="1:2" s="3" customFormat="1" ht="55.2" x14ac:dyDescent="0.3">
      <c r="A18" s="138"/>
      <c r="B18" s="86" t="s">
        <v>212</v>
      </c>
    </row>
    <row r="19" spans="1:2" s="3" customFormat="1" ht="27.6" x14ac:dyDescent="0.3">
      <c r="A19" s="139"/>
      <c r="B19" s="88" t="s">
        <v>213</v>
      </c>
    </row>
    <row r="20" spans="1:2" s="3" customFormat="1" ht="27.6" x14ac:dyDescent="0.3">
      <c r="A20" s="137" t="s">
        <v>214</v>
      </c>
      <c r="B20" s="86" t="s">
        <v>238</v>
      </c>
    </row>
    <row r="21" spans="1:2" s="3" customFormat="1" ht="27.6" x14ac:dyDescent="0.3">
      <c r="A21" s="138"/>
      <c r="B21" s="88" t="s">
        <v>215</v>
      </c>
    </row>
    <row r="22" spans="1:2" s="3" customFormat="1" x14ac:dyDescent="0.3">
      <c r="A22" s="138"/>
      <c r="B22" s="86" t="s">
        <v>216</v>
      </c>
    </row>
    <row r="23" spans="1:2" s="3" customFormat="1" ht="27.6" x14ac:dyDescent="0.3">
      <c r="A23" s="138"/>
      <c r="B23" s="88" t="s">
        <v>217</v>
      </c>
    </row>
    <row r="24" spans="1:2" s="3" customFormat="1" ht="41.4" x14ac:dyDescent="0.3">
      <c r="A24" s="138"/>
      <c r="B24" s="86" t="s">
        <v>218</v>
      </c>
    </row>
    <row r="25" spans="1:2" s="3" customFormat="1" ht="27.6" x14ac:dyDescent="0.3">
      <c r="A25" s="138"/>
      <c r="B25" s="88" t="s">
        <v>239</v>
      </c>
    </row>
    <row r="26" spans="1:2" s="3" customFormat="1" ht="27.6" x14ac:dyDescent="0.3">
      <c r="A26" s="138"/>
      <c r="B26" s="86" t="s">
        <v>219</v>
      </c>
    </row>
    <row r="27" spans="1:2" s="3" customFormat="1" ht="27.6" x14ac:dyDescent="0.3">
      <c r="A27" s="138"/>
      <c r="B27" s="88" t="s">
        <v>220</v>
      </c>
    </row>
    <row r="28" spans="1:2" s="3" customFormat="1" x14ac:dyDescent="0.3">
      <c r="A28" s="138"/>
      <c r="B28" s="86" t="s">
        <v>221</v>
      </c>
    </row>
    <row r="29" spans="1:2" s="3" customFormat="1" ht="41.4" x14ac:dyDescent="0.3">
      <c r="A29" s="138"/>
      <c r="B29" s="88" t="s">
        <v>240</v>
      </c>
    </row>
    <row r="30" spans="1:2" s="3" customFormat="1" ht="41.4" x14ac:dyDescent="0.3">
      <c r="A30" s="138"/>
      <c r="B30" s="86" t="s">
        <v>222</v>
      </c>
    </row>
    <row r="31" spans="1:2" s="3" customFormat="1" x14ac:dyDescent="0.3">
      <c r="A31" s="138"/>
      <c r="B31" s="88" t="s">
        <v>223</v>
      </c>
    </row>
    <row r="32" spans="1:2" s="3" customFormat="1" ht="27.6" x14ac:dyDescent="0.3">
      <c r="A32" s="138"/>
      <c r="B32" s="86" t="s">
        <v>224</v>
      </c>
    </row>
    <row r="33" spans="1:2" s="3" customFormat="1" x14ac:dyDescent="0.3">
      <c r="A33" s="138"/>
      <c r="B33" s="88" t="s">
        <v>225</v>
      </c>
    </row>
    <row r="34" spans="1:2" s="3" customFormat="1" ht="27.6" x14ac:dyDescent="0.3">
      <c r="A34" s="138"/>
      <c r="B34" s="86" t="s">
        <v>226</v>
      </c>
    </row>
    <row r="35" spans="1:2" s="3" customFormat="1" ht="27.6" x14ac:dyDescent="0.3">
      <c r="A35" s="138"/>
      <c r="B35" s="88" t="s">
        <v>227</v>
      </c>
    </row>
    <row r="36" spans="1:2" s="3" customFormat="1" x14ac:dyDescent="0.3">
      <c r="A36" s="139"/>
      <c r="B36" s="86" t="s">
        <v>228</v>
      </c>
    </row>
    <row r="37" spans="1:2" s="3" customFormat="1" ht="69" x14ac:dyDescent="0.3">
      <c r="A37" s="92" t="s">
        <v>229</v>
      </c>
      <c r="B37" s="86" t="s">
        <v>230</v>
      </c>
    </row>
    <row r="38" spans="1:2" s="3" customFormat="1" ht="41.4" x14ac:dyDescent="0.3">
      <c r="A38" s="132" t="s">
        <v>231</v>
      </c>
      <c r="B38" s="89" t="s">
        <v>232</v>
      </c>
    </row>
    <row r="39" spans="1:2" s="3" customFormat="1" ht="41.4" x14ac:dyDescent="0.3">
      <c r="A39" s="133"/>
      <c r="B39" s="86" t="s">
        <v>233</v>
      </c>
    </row>
    <row r="40" spans="1:2" s="3" customFormat="1" ht="27.6" x14ac:dyDescent="0.3">
      <c r="A40" s="133"/>
      <c r="B40" s="86" t="s">
        <v>259</v>
      </c>
    </row>
    <row r="41" spans="1:2" s="3" customFormat="1" ht="27.6" x14ac:dyDescent="0.3">
      <c r="A41" s="133"/>
      <c r="B41" s="88" t="s">
        <v>260</v>
      </c>
    </row>
    <row r="42" spans="1:2" s="3" customFormat="1" x14ac:dyDescent="0.3">
      <c r="A42" s="133"/>
      <c r="B42" s="90" t="s">
        <v>261</v>
      </c>
    </row>
    <row r="43" spans="1:2" s="3" customFormat="1" x14ac:dyDescent="0.3">
      <c r="A43" s="133"/>
      <c r="B43" s="86" t="s">
        <v>262</v>
      </c>
    </row>
    <row r="44" spans="1:2" s="3" customFormat="1" ht="27.6" x14ac:dyDescent="0.3">
      <c r="A44" s="133"/>
      <c r="B44" s="86" t="s">
        <v>234</v>
      </c>
    </row>
    <row r="45" spans="1:2" s="3" customFormat="1" ht="41.4" x14ac:dyDescent="0.3">
      <c r="A45" s="133"/>
      <c r="B45" s="88" t="s">
        <v>263</v>
      </c>
    </row>
    <row r="46" spans="1:2" s="3" customFormat="1" x14ac:dyDescent="0.3">
      <c r="A46" s="134"/>
      <c r="B46" s="86" t="s">
        <v>235</v>
      </c>
    </row>
    <row r="47" spans="1:2" x14ac:dyDescent="0.3">
      <c r="A47" s="129" t="s">
        <v>249</v>
      </c>
      <c r="B47" s="94" t="s">
        <v>241</v>
      </c>
    </row>
    <row r="48" spans="1:2" x14ac:dyDescent="0.3">
      <c r="A48" s="130"/>
      <c r="B48" s="94" t="s">
        <v>242</v>
      </c>
    </row>
    <row r="49" spans="1:2" ht="28.8" x14ac:dyDescent="0.3">
      <c r="A49" s="130"/>
      <c r="B49" s="94" t="s">
        <v>243</v>
      </c>
    </row>
    <row r="50" spans="1:2" ht="28.8" x14ac:dyDescent="0.3">
      <c r="A50" s="130"/>
      <c r="B50" s="94" t="s">
        <v>244</v>
      </c>
    </row>
    <row r="51" spans="1:2" x14ac:dyDescent="0.3">
      <c r="A51" s="131"/>
      <c r="B51" s="94" t="s">
        <v>248</v>
      </c>
    </row>
    <row r="52" spans="1:2" ht="28.8" x14ac:dyDescent="0.3">
      <c r="A52" s="129" t="s">
        <v>250</v>
      </c>
      <c r="B52" s="95" t="s">
        <v>245</v>
      </c>
    </row>
    <row r="53" spans="1:2" x14ac:dyDescent="0.3">
      <c r="A53" s="130"/>
      <c r="B53" s="96" t="s">
        <v>246</v>
      </c>
    </row>
    <row r="54" spans="1:2" x14ac:dyDescent="0.3">
      <c r="A54" s="130"/>
      <c r="B54" s="96" t="s">
        <v>247</v>
      </c>
    </row>
    <row r="55" spans="1:2" ht="28.8" x14ac:dyDescent="0.3">
      <c r="A55" s="130"/>
      <c r="B55" s="96" t="s">
        <v>251</v>
      </c>
    </row>
    <row r="56" spans="1:2" x14ac:dyDescent="0.3">
      <c r="A56" s="130"/>
      <c r="B56" s="97" t="s">
        <v>252</v>
      </c>
    </row>
    <row r="57" spans="1:2" ht="28.8" x14ac:dyDescent="0.3">
      <c r="A57" s="130"/>
      <c r="B57" s="96" t="s">
        <v>253</v>
      </c>
    </row>
    <row r="58" spans="1:2" ht="43.2" x14ac:dyDescent="0.3">
      <c r="A58" s="130"/>
      <c r="B58" s="96" t="s">
        <v>254</v>
      </c>
    </row>
    <row r="59" spans="1:2" x14ac:dyDescent="0.3">
      <c r="A59" s="130"/>
      <c r="B59" s="96" t="s">
        <v>255</v>
      </c>
    </row>
    <row r="60" spans="1:2" x14ac:dyDescent="0.3">
      <c r="A60" s="130"/>
      <c r="B60" s="96" t="s">
        <v>256</v>
      </c>
    </row>
    <row r="61" spans="1:2" x14ac:dyDescent="0.3">
      <c r="A61" s="130"/>
      <c r="B61" s="96" t="s">
        <v>257</v>
      </c>
    </row>
    <row r="62" spans="1:2" ht="28.8" x14ac:dyDescent="0.3">
      <c r="A62" s="131"/>
      <c r="B62" s="98" t="s">
        <v>258</v>
      </c>
    </row>
    <row r="63" spans="1:2" x14ac:dyDescent="0.3">
      <c r="B63" s="91"/>
    </row>
  </sheetData>
  <mergeCells count="7">
    <mergeCell ref="A52:A62"/>
    <mergeCell ref="A47:A51"/>
    <mergeCell ref="A38:A46"/>
    <mergeCell ref="A7:B7"/>
    <mergeCell ref="A9:A14"/>
    <mergeCell ref="A15:A19"/>
    <mergeCell ref="A20:A36"/>
  </mergeCells>
  <printOptions horizontalCentered="1"/>
  <pageMargins left="0.39370078740157499" right="0.39370078740157499" top="0.39370078740157499" bottom="0.511811023622047" header="0.118110236220472" footer="0.118110236220472"/>
  <pageSetup paperSize="9" fitToHeight="0" orientation="landscape" r:id="rId1"/>
  <headerFooter>
    <oddFooter>&amp;C&amp;8&amp;K01+031Page &amp;P of &amp;N&amp;R&amp;8Approved by:
Wafaa Alshaaban
Project Officer</oddFooter>
  </headerFooter>
  <rowBreaks count="4" manualBreakCount="4">
    <brk id="14" max="1" man="1"/>
    <brk id="24" max="1" man="1"/>
    <brk id="36" max="1" man="1"/>
    <brk id="46" max="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578F2-BC7D-49FF-938A-16905E47BADA}">
  <sheetPr>
    <tabColor theme="8" tint="0.79998168889431442"/>
    <pageSetUpPr fitToPage="1"/>
  </sheetPr>
  <dimension ref="A1:AC44"/>
  <sheetViews>
    <sheetView topLeftCell="A2" workbookViewId="0">
      <selection activeCell="E26" sqref="E26"/>
    </sheetView>
  </sheetViews>
  <sheetFormatPr defaultRowHeight="14.4" x14ac:dyDescent="0.3"/>
  <cols>
    <col min="1" max="1" width="4.5546875" customWidth="1"/>
    <col min="2" max="2" width="12.88671875" customWidth="1"/>
    <col min="3" max="3" width="17.33203125" customWidth="1"/>
    <col min="4" max="4" width="36.5546875" customWidth="1"/>
    <col min="5" max="5" width="7.5546875" customWidth="1"/>
    <col min="6" max="6" width="11.5546875" customWidth="1"/>
    <col min="7" max="7" width="9" customWidth="1"/>
    <col min="8" max="8" width="7.5546875" customWidth="1"/>
    <col min="11" max="11" width="8" customWidth="1"/>
    <col min="13" max="13" width="8.109375" customWidth="1"/>
    <col min="17" max="17" width="5.6640625" customWidth="1"/>
    <col min="18" max="18" width="13.109375" customWidth="1"/>
    <col min="20" max="20" width="12.109375" customWidth="1"/>
    <col min="21" max="21" width="13.33203125" customWidth="1"/>
    <col min="22" max="22" width="11" customWidth="1"/>
    <col min="23" max="23" width="15" customWidth="1"/>
    <col min="24" max="24" width="16.33203125" customWidth="1"/>
    <col min="25" max="25" width="6.109375" customWidth="1"/>
    <col min="27" max="27" width="12.6640625" customWidth="1"/>
  </cols>
  <sheetData>
    <row r="1" spans="1:29" ht="16.2" thickBot="1" x14ac:dyDescent="0.35">
      <c r="F1" s="140" t="s">
        <v>138</v>
      </c>
      <c r="G1" s="141"/>
      <c r="H1" s="141"/>
      <c r="I1" s="141"/>
      <c r="J1" s="141"/>
      <c r="K1" s="141"/>
      <c r="L1" s="141"/>
      <c r="M1" s="141"/>
      <c r="N1" s="141"/>
      <c r="O1" s="141"/>
      <c r="P1" s="141"/>
      <c r="Q1" s="141"/>
      <c r="R1" s="141"/>
      <c r="S1" s="141"/>
      <c r="T1" s="141"/>
      <c r="U1" s="141"/>
      <c r="V1" s="141"/>
      <c r="W1" s="141"/>
      <c r="X1" s="141"/>
      <c r="Y1" s="141"/>
      <c r="Z1" s="141"/>
      <c r="AA1" s="141"/>
      <c r="AB1" s="141"/>
      <c r="AC1" s="142"/>
    </row>
    <row r="2" spans="1:29" s="41" customFormat="1" ht="29.25" customHeight="1" thickBot="1" x14ac:dyDescent="0.35">
      <c r="F2" s="143" t="s">
        <v>94</v>
      </c>
      <c r="G2" s="144"/>
      <c r="H2" s="144"/>
      <c r="I2" s="143" t="s">
        <v>139</v>
      </c>
      <c r="J2" s="144"/>
      <c r="K2" s="144"/>
      <c r="L2" s="143" t="s">
        <v>140</v>
      </c>
      <c r="M2" s="144"/>
      <c r="N2" s="144"/>
      <c r="O2" s="143" t="s">
        <v>141</v>
      </c>
      <c r="P2" s="144"/>
      <c r="Q2" s="144"/>
      <c r="R2" s="145" t="s">
        <v>142</v>
      </c>
      <c r="S2" s="146"/>
      <c r="T2" s="146"/>
      <c r="U2" s="145" t="s">
        <v>143</v>
      </c>
      <c r="V2" s="146"/>
      <c r="W2" s="146"/>
      <c r="X2" s="145" t="s">
        <v>144</v>
      </c>
      <c r="Y2" s="146"/>
      <c r="Z2" s="146"/>
      <c r="AA2" s="147" t="s">
        <v>145</v>
      </c>
      <c r="AB2" s="148"/>
      <c r="AC2" s="149"/>
    </row>
    <row r="3" spans="1:29" ht="15" thickBot="1" x14ac:dyDescent="0.35">
      <c r="A3" s="150" t="s">
        <v>146</v>
      </c>
      <c r="B3" s="151"/>
      <c r="C3" s="151"/>
      <c r="D3" s="152"/>
      <c r="F3" s="64" t="s">
        <v>147</v>
      </c>
      <c r="G3" s="65" t="s">
        <v>148</v>
      </c>
      <c r="H3" s="66" t="s">
        <v>35</v>
      </c>
      <c r="I3" s="64" t="s">
        <v>147</v>
      </c>
      <c r="J3" s="65" t="s">
        <v>148</v>
      </c>
      <c r="K3" s="66" t="s">
        <v>35</v>
      </c>
      <c r="L3" s="64" t="s">
        <v>147</v>
      </c>
      <c r="M3" s="65" t="s">
        <v>148</v>
      </c>
      <c r="N3" s="66" t="s">
        <v>35</v>
      </c>
      <c r="O3" s="64" t="s">
        <v>147</v>
      </c>
      <c r="P3" s="65" t="s">
        <v>148</v>
      </c>
      <c r="Q3" s="66" t="s">
        <v>35</v>
      </c>
      <c r="R3" s="64" t="s">
        <v>147</v>
      </c>
      <c r="S3" s="65" t="s">
        <v>148</v>
      </c>
      <c r="T3" s="66" t="s">
        <v>35</v>
      </c>
      <c r="U3" s="64" t="s">
        <v>147</v>
      </c>
      <c r="V3" s="65" t="s">
        <v>148</v>
      </c>
      <c r="W3" s="66" t="s">
        <v>35</v>
      </c>
      <c r="X3" s="64" t="s">
        <v>147</v>
      </c>
      <c r="Y3" s="65" t="s">
        <v>148</v>
      </c>
      <c r="Z3" s="66" t="s">
        <v>35</v>
      </c>
      <c r="AA3" s="64" t="s">
        <v>147</v>
      </c>
      <c r="AB3" s="65" t="s">
        <v>148</v>
      </c>
      <c r="AC3" s="67" t="s">
        <v>35</v>
      </c>
    </row>
    <row r="4" spans="1:29" ht="15" thickBot="1" x14ac:dyDescent="0.35">
      <c r="A4" s="68" t="s">
        <v>149</v>
      </c>
      <c r="B4" s="69" t="s">
        <v>150</v>
      </c>
      <c r="C4" s="69" t="s">
        <v>151</v>
      </c>
      <c r="D4" s="70" t="s">
        <v>152</v>
      </c>
      <c r="F4" s="71" t="s">
        <v>153</v>
      </c>
      <c r="G4" s="47">
        <v>1.6</v>
      </c>
      <c r="H4" t="s">
        <v>154</v>
      </c>
      <c r="I4" s="71" t="s">
        <v>155</v>
      </c>
      <c r="J4" s="47">
        <v>0.3</v>
      </c>
      <c r="K4" t="s">
        <v>154</v>
      </c>
      <c r="L4" s="71" t="s">
        <v>155</v>
      </c>
      <c r="M4" s="47">
        <v>0.1</v>
      </c>
      <c r="N4" t="s">
        <v>154</v>
      </c>
      <c r="O4" s="71" t="s">
        <v>155</v>
      </c>
      <c r="P4" s="47">
        <v>0.3</v>
      </c>
      <c r="Q4" t="s">
        <v>154</v>
      </c>
      <c r="R4" s="71" t="s">
        <v>156</v>
      </c>
      <c r="S4" s="47">
        <v>2</v>
      </c>
      <c r="T4" t="s">
        <v>154</v>
      </c>
      <c r="U4" s="72" t="s">
        <v>156</v>
      </c>
      <c r="V4" s="73">
        <f>S4</f>
        <v>2</v>
      </c>
      <c r="W4" t="s">
        <v>154</v>
      </c>
      <c r="X4" s="71" t="s">
        <v>157</v>
      </c>
      <c r="Y4" s="47">
        <v>0.5</v>
      </c>
      <c r="Z4" t="s">
        <v>154</v>
      </c>
      <c r="AA4" s="71" t="s">
        <v>103</v>
      </c>
      <c r="AB4" s="47">
        <v>1</v>
      </c>
      <c r="AC4" s="74" t="s">
        <v>154</v>
      </c>
    </row>
    <row r="5" spans="1:29" x14ac:dyDescent="0.3">
      <c r="A5" s="75">
        <v>1</v>
      </c>
      <c r="B5" s="69" t="s">
        <v>78</v>
      </c>
      <c r="C5" s="153" t="s">
        <v>158</v>
      </c>
      <c r="D5" s="154"/>
      <c r="F5" s="71" t="s">
        <v>159</v>
      </c>
      <c r="G5" s="47">
        <v>1.5</v>
      </c>
      <c r="H5" t="s">
        <v>154</v>
      </c>
      <c r="I5" s="72" t="s">
        <v>160</v>
      </c>
      <c r="J5" s="73">
        <f>G5*4</f>
        <v>6</v>
      </c>
      <c r="K5" t="s">
        <v>154</v>
      </c>
      <c r="L5" s="72" t="s">
        <v>161</v>
      </c>
      <c r="M5" s="73">
        <f>J6</f>
        <v>1.7999999999999998</v>
      </c>
      <c r="N5" t="s">
        <v>162</v>
      </c>
      <c r="O5" s="71" t="s">
        <v>107</v>
      </c>
      <c r="P5" s="47">
        <f>G6</f>
        <v>1.5</v>
      </c>
      <c r="Q5" t="s">
        <v>154</v>
      </c>
      <c r="R5" s="71" t="s">
        <v>163</v>
      </c>
      <c r="S5" s="47">
        <v>1.835</v>
      </c>
      <c r="T5" t="s">
        <v>154</v>
      </c>
      <c r="U5" s="72" t="s">
        <v>163</v>
      </c>
      <c r="V5" s="73">
        <f>G6</f>
        <v>1.5</v>
      </c>
      <c r="W5" t="s">
        <v>154</v>
      </c>
      <c r="X5" s="71" t="s">
        <v>155</v>
      </c>
      <c r="Y5" s="47">
        <v>0.3</v>
      </c>
      <c r="Z5" t="s">
        <v>154</v>
      </c>
      <c r="AA5" s="72" t="s">
        <v>164</v>
      </c>
      <c r="AB5" s="73">
        <f>SQRT(S5^2+S4^2)</f>
        <v>2.7142632517867531</v>
      </c>
      <c r="AC5" s="74" t="s">
        <v>154</v>
      </c>
    </row>
    <row r="6" spans="1:29" x14ac:dyDescent="0.3">
      <c r="A6" s="72"/>
      <c r="B6" t="s">
        <v>165</v>
      </c>
      <c r="C6" s="73">
        <f>J7</f>
        <v>2.88</v>
      </c>
      <c r="D6" s="74" t="s">
        <v>166</v>
      </c>
      <c r="F6" s="71" t="s">
        <v>167</v>
      </c>
      <c r="G6" s="47">
        <v>1.5</v>
      </c>
      <c r="H6" t="s">
        <v>154</v>
      </c>
      <c r="I6" s="72" t="s">
        <v>161</v>
      </c>
      <c r="J6" s="73">
        <f>J5*J4</f>
        <v>1.7999999999999998</v>
      </c>
      <c r="K6" t="s">
        <v>162</v>
      </c>
      <c r="L6" s="72" t="s">
        <v>168</v>
      </c>
      <c r="M6" s="73">
        <f>M5*M4</f>
        <v>0.18</v>
      </c>
      <c r="N6" t="s">
        <v>169</v>
      </c>
      <c r="O6" s="71" t="s">
        <v>164</v>
      </c>
      <c r="P6" s="47">
        <f>G4</f>
        <v>1.6</v>
      </c>
      <c r="Q6" t="s">
        <v>154</v>
      </c>
      <c r="R6" s="72" t="s">
        <v>155</v>
      </c>
      <c r="S6" s="73">
        <f>P4</f>
        <v>0.3</v>
      </c>
      <c r="T6" t="s">
        <v>154</v>
      </c>
      <c r="U6" s="72" t="s">
        <v>155</v>
      </c>
      <c r="V6" s="73">
        <f>P4</f>
        <v>0.3</v>
      </c>
      <c r="W6" t="s">
        <v>154</v>
      </c>
      <c r="X6" s="72" t="s">
        <v>107</v>
      </c>
      <c r="Y6" s="73">
        <f>G6</f>
        <v>1.5</v>
      </c>
      <c r="Z6" t="s">
        <v>154</v>
      </c>
      <c r="AA6" s="72" t="s">
        <v>170</v>
      </c>
      <c r="AB6" s="73">
        <f>AB5*Y5*AB4*4</f>
        <v>3.2571159021441036</v>
      </c>
      <c r="AC6" s="74" t="s">
        <v>169</v>
      </c>
    </row>
    <row r="7" spans="1:29" ht="15" thickBot="1" x14ac:dyDescent="0.35">
      <c r="A7" s="72"/>
      <c r="B7" t="s">
        <v>171</v>
      </c>
      <c r="C7" s="73">
        <f>M6</f>
        <v>0.18</v>
      </c>
      <c r="D7" s="74" t="s">
        <v>166</v>
      </c>
      <c r="F7" s="76"/>
      <c r="G7" s="77"/>
      <c r="H7" s="77"/>
      <c r="I7" s="76" t="s">
        <v>168</v>
      </c>
      <c r="J7" s="78">
        <f>J6*G4</f>
        <v>2.88</v>
      </c>
      <c r="K7" s="77" t="s">
        <v>169</v>
      </c>
      <c r="L7" s="76"/>
      <c r="M7" s="77"/>
      <c r="N7" s="77"/>
      <c r="O7" s="76" t="s">
        <v>168</v>
      </c>
      <c r="P7" s="78">
        <f>P6*P5*P4</f>
        <v>0.72000000000000008</v>
      </c>
      <c r="Q7" s="77" t="s">
        <v>169</v>
      </c>
      <c r="R7" s="76" t="s">
        <v>168</v>
      </c>
      <c r="S7" s="78">
        <f>S6*S5*S4*2</f>
        <v>2.202</v>
      </c>
      <c r="T7" s="77" t="s">
        <v>169</v>
      </c>
      <c r="U7" s="76" t="s">
        <v>168</v>
      </c>
      <c r="V7" s="78">
        <f>V6*V5*V4*2</f>
        <v>1.7999999999999998</v>
      </c>
      <c r="W7" s="77" t="s">
        <v>169</v>
      </c>
      <c r="X7" s="76" t="s">
        <v>168</v>
      </c>
      <c r="Y7" s="78">
        <f>Y6*Y5*Y4*2</f>
        <v>0.44999999999999996</v>
      </c>
      <c r="Z7" s="77" t="s">
        <v>169</v>
      </c>
      <c r="AA7" s="76" t="s">
        <v>172</v>
      </c>
      <c r="AB7" s="78">
        <f>(Y4+G5-AB4)*AB5*Y5*2</f>
        <v>1.6285579510720518</v>
      </c>
      <c r="AC7" s="79" t="s">
        <v>169</v>
      </c>
    </row>
    <row r="8" spans="1:29" ht="15" thickBot="1" x14ac:dyDescent="0.35">
      <c r="A8" s="72"/>
      <c r="B8" t="s">
        <v>173</v>
      </c>
      <c r="C8" s="80">
        <f>P7</f>
        <v>0.72000000000000008</v>
      </c>
      <c r="D8" s="74" t="s">
        <v>166</v>
      </c>
    </row>
    <row r="9" spans="1:29" x14ac:dyDescent="0.3">
      <c r="A9" s="75">
        <v>2</v>
      </c>
      <c r="B9" s="69" t="s">
        <v>174</v>
      </c>
      <c r="C9" s="81"/>
      <c r="D9" s="82"/>
    </row>
    <row r="10" spans="1:29" x14ac:dyDescent="0.3">
      <c r="A10" s="72"/>
      <c r="B10" t="s">
        <v>175</v>
      </c>
      <c r="C10" s="73">
        <f>S7</f>
        <v>2.202</v>
      </c>
      <c r="D10" s="74" t="s">
        <v>176</v>
      </c>
    </row>
    <row r="11" spans="1:29" ht="15" thickBot="1" x14ac:dyDescent="0.35">
      <c r="A11" s="72"/>
      <c r="B11" t="s">
        <v>177</v>
      </c>
      <c r="C11" s="80">
        <f>V7</f>
        <v>1.7999999999999998</v>
      </c>
      <c r="D11" s="74" t="s">
        <v>178</v>
      </c>
      <c r="I11">
        <f>(C11*2*10)+C10</f>
        <v>38.201999999999998</v>
      </c>
    </row>
    <row r="12" spans="1:29" x14ac:dyDescent="0.3">
      <c r="A12" s="75">
        <v>3</v>
      </c>
      <c r="B12" s="69" t="s">
        <v>179</v>
      </c>
      <c r="C12" s="81"/>
      <c r="D12" s="82"/>
    </row>
    <row r="13" spans="1:29" x14ac:dyDescent="0.3">
      <c r="A13" s="72"/>
      <c r="B13" t="s">
        <v>180</v>
      </c>
      <c r="C13" s="73">
        <f>Y7</f>
        <v>0.44999999999999996</v>
      </c>
      <c r="D13" s="74" t="s">
        <v>178</v>
      </c>
    </row>
    <row r="14" spans="1:29" ht="16.2" thickBot="1" x14ac:dyDescent="0.35">
      <c r="A14" s="76"/>
      <c r="B14" s="77" t="s">
        <v>145</v>
      </c>
      <c r="C14" s="78">
        <f>AB6+AB7</f>
        <v>4.8856738532161552</v>
      </c>
      <c r="D14" s="79" t="s">
        <v>181</v>
      </c>
      <c r="O14" s="51"/>
    </row>
    <row r="16" spans="1:29" x14ac:dyDescent="0.3">
      <c r="B16" s="155" t="s">
        <v>182</v>
      </c>
      <c r="C16" s="156"/>
      <c r="D16" s="156"/>
      <c r="E16" s="157"/>
      <c r="J16">
        <f>C6*6*2</f>
        <v>34.56</v>
      </c>
    </row>
    <row r="17" spans="1:5" x14ac:dyDescent="0.3">
      <c r="B17" s="56"/>
      <c r="C17" s="56" t="s">
        <v>183</v>
      </c>
      <c r="D17" s="56" t="s">
        <v>184</v>
      </c>
      <c r="E17" s="56" t="s">
        <v>185</v>
      </c>
    </row>
    <row r="18" spans="1:5" x14ac:dyDescent="0.3">
      <c r="B18" s="56" t="s">
        <v>186</v>
      </c>
      <c r="C18" s="56">
        <f>C6</f>
        <v>2.88</v>
      </c>
      <c r="D18" s="56"/>
      <c r="E18" s="56"/>
    </row>
    <row r="19" spans="1:5" x14ac:dyDescent="0.3">
      <c r="B19" s="56" t="s">
        <v>187</v>
      </c>
      <c r="C19" s="56" t="s">
        <v>188</v>
      </c>
      <c r="D19" s="56">
        <f>C13</f>
        <v>0.44999999999999996</v>
      </c>
      <c r="E19" s="56">
        <f>C14</f>
        <v>4.8856738532161552</v>
      </c>
    </row>
    <row r="20" spans="1:5" x14ac:dyDescent="0.3">
      <c r="B20" s="56" t="s">
        <v>189</v>
      </c>
      <c r="C20" s="56">
        <f>C7</f>
        <v>0.18</v>
      </c>
      <c r="D20" s="56"/>
      <c r="E20" s="56"/>
    </row>
    <row r="21" spans="1:5" x14ac:dyDescent="0.3">
      <c r="B21" s="56" t="s">
        <v>190</v>
      </c>
      <c r="C21" s="56">
        <f>C8</f>
        <v>0.72000000000000008</v>
      </c>
      <c r="D21" s="56">
        <f>C11</f>
        <v>1.7999999999999998</v>
      </c>
      <c r="E21" s="56">
        <f>C10</f>
        <v>2.202</v>
      </c>
    </row>
    <row r="24" spans="1:5" x14ac:dyDescent="0.3">
      <c r="A24" s="49" t="s">
        <v>191</v>
      </c>
    </row>
    <row r="25" spans="1:5" x14ac:dyDescent="0.3">
      <c r="A25" s="158" t="s">
        <v>192</v>
      </c>
      <c r="B25" s="159"/>
      <c r="C25" s="160"/>
    </row>
    <row r="26" spans="1:5" x14ac:dyDescent="0.3">
      <c r="A26" s="161" t="s">
        <v>193</v>
      </c>
      <c r="B26" s="162"/>
      <c r="C26" s="163"/>
    </row>
    <row r="37" spans="10:21" x14ac:dyDescent="0.3">
      <c r="Q37" t="s">
        <v>194</v>
      </c>
      <c r="U37" t="s">
        <v>195</v>
      </c>
    </row>
    <row r="42" spans="10:21" x14ac:dyDescent="0.3">
      <c r="J42">
        <v>424.94</v>
      </c>
      <c r="K42">
        <v>424.8</v>
      </c>
      <c r="M42">
        <v>0.14000000000000001</v>
      </c>
      <c r="N42">
        <v>400</v>
      </c>
      <c r="O42">
        <f>N42*7</f>
        <v>2800</v>
      </c>
    </row>
    <row r="43" spans="10:21" x14ac:dyDescent="0.3">
      <c r="K43">
        <f>J42-K42</f>
        <v>0.13999999999998636</v>
      </c>
      <c r="M43">
        <v>1</v>
      </c>
      <c r="N43">
        <v>100</v>
      </c>
    </row>
    <row r="44" spans="10:21" x14ac:dyDescent="0.3">
      <c r="K44">
        <f>K43/400</f>
        <v>3.499999999999659E-4</v>
      </c>
      <c r="N44">
        <f>M43/N43</f>
        <v>0.01</v>
      </c>
    </row>
  </sheetData>
  <mergeCells count="14">
    <mergeCell ref="A3:D3"/>
    <mergeCell ref="C5:D5"/>
    <mergeCell ref="B16:E16"/>
    <mergeCell ref="A25:C25"/>
    <mergeCell ref="A26:C26"/>
    <mergeCell ref="F1:AC1"/>
    <mergeCell ref="F2:H2"/>
    <mergeCell ref="I2:K2"/>
    <mergeCell ref="L2:N2"/>
    <mergeCell ref="O2:Q2"/>
    <mergeCell ref="R2:T2"/>
    <mergeCell ref="U2:W2"/>
    <mergeCell ref="X2:Z2"/>
    <mergeCell ref="AA2:AC2"/>
  </mergeCells>
  <pageMargins left="0.7" right="0.7" top="0.75" bottom="0.75" header="0.3" footer="0.3"/>
  <pageSetup paperSize="9" scale="41" fitToHeight="0" orientation="landscape" horizontalDpi="300" r:id="rId1"/>
  <headerFooter>
    <oddFooter>&amp;C&amp;"+,Regular"&amp;10Page &amp;P of &amp;N&amp;R&amp;"+,Regular"&amp;10Approved by:
Wafaa Alshaaban
Project Officer</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18A8D-4F83-425E-9F19-8D15972540E2}">
  <sheetPr>
    <tabColor theme="8" tint="0.59999389629810485"/>
    <pageSetUpPr fitToPage="1"/>
  </sheetPr>
  <dimension ref="A1:Q29"/>
  <sheetViews>
    <sheetView zoomScale="85" zoomScaleNormal="85" workbookViewId="0">
      <selection activeCell="J5" sqref="J5"/>
    </sheetView>
  </sheetViews>
  <sheetFormatPr defaultRowHeight="14.4" x14ac:dyDescent="0.3"/>
  <cols>
    <col min="3" max="3" width="11.44140625" bestFit="1" customWidth="1"/>
    <col min="5" max="5" width="15.6640625" customWidth="1"/>
    <col min="7" max="7" width="15.6640625" customWidth="1"/>
    <col min="10" max="10" width="29.5546875" bestFit="1" customWidth="1"/>
    <col min="14" max="14" width="14.109375" customWidth="1"/>
  </cols>
  <sheetData>
    <row r="1" spans="1:17" ht="15" thickBot="1" x14ac:dyDescent="0.35">
      <c r="E1" s="164" t="s">
        <v>93</v>
      </c>
      <c r="F1" s="165"/>
      <c r="G1" s="165"/>
      <c r="H1" s="165"/>
      <c r="I1" s="165"/>
      <c r="J1" s="165"/>
      <c r="K1" s="165"/>
      <c r="L1" s="165"/>
      <c r="M1" s="165"/>
      <c r="N1" s="165"/>
      <c r="O1" s="165"/>
      <c r="P1" s="165"/>
      <c r="Q1" s="166"/>
    </row>
    <row r="2" spans="1:17" x14ac:dyDescent="0.3">
      <c r="E2" t="s">
        <v>94</v>
      </c>
      <c r="J2" t="s">
        <v>95</v>
      </c>
      <c r="N2" t="s">
        <v>96</v>
      </c>
    </row>
    <row r="3" spans="1:17" ht="16.2" x14ac:dyDescent="0.3">
      <c r="H3">
        <v>1</v>
      </c>
      <c r="I3" t="s">
        <v>97</v>
      </c>
      <c r="J3" t="s">
        <v>98</v>
      </c>
      <c r="K3">
        <v>12</v>
      </c>
      <c r="L3" t="s">
        <v>99</v>
      </c>
      <c r="M3" t="s">
        <v>100</v>
      </c>
      <c r="N3" t="s">
        <v>101</v>
      </c>
      <c r="O3">
        <v>7850</v>
      </c>
      <c r="P3" t="s">
        <v>102</v>
      </c>
    </row>
    <row r="4" spans="1:17" x14ac:dyDescent="0.3">
      <c r="E4" t="s">
        <v>103</v>
      </c>
      <c r="F4" s="47">
        <v>1200</v>
      </c>
      <c r="G4" t="s">
        <v>99</v>
      </c>
      <c r="H4">
        <v>3</v>
      </c>
      <c r="I4" t="s">
        <v>97</v>
      </c>
      <c r="J4" t="s">
        <v>104</v>
      </c>
      <c r="K4">
        <v>127</v>
      </c>
      <c r="L4" t="s">
        <v>99</v>
      </c>
      <c r="M4" t="s">
        <v>105</v>
      </c>
      <c r="N4" t="s">
        <v>101</v>
      </c>
      <c r="O4">
        <v>15</v>
      </c>
      <c r="P4" t="s">
        <v>106</v>
      </c>
    </row>
    <row r="5" spans="1:17" ht="16.2" x14ac:dyDescent="0.3">
      <c r="E5" t="s">
        <v>107</v>
      </c>
      <c r="F5" s="47">
        <v>1200</v>
      </c>
      <c r="G5" t="s">
        <v>99</v>
      </c>
      <c r="H5">
        <v>3</v>
      </c>
      <c r="I5" t="s">
        <v>97</v>
      </c>
      <c r="J5" t="s">
        <v>108</v>
      </c>
      <c r="K5">
        <v>70</v>
      </c>
      <c r="L5" t="s">
        <v>99</v>
      </c>
      <c r="M5" t="s">
        <v>5</v>
      </c>
      <c r="N5" t="s">
        <v>101</v>
      </c>
      <c r="O5">
        <v>7850</v>
      </c>
      <c r="P5" t="s">
        <v>102</v>
      </c>
    </row>
    <row r="6" spans="1:17" ht="16.2" x14ac:dyDescent="0.3">
      <c r="A6" t="s">
        <v>109</v>
      </c>
      <c r="B6" t="s">
        <v>110</v>
      </c>
      <c r="C6" s="48">
        <f>(F4/1000)*(F5/1000)*(K3/1000)</f>
        <v>1.728E-2</v>
      </c>
      <c r="D6" t="s">
        <v>111</v>
      </c>
      <c r="K6">
        <v>90</v>
      </c>
      <c r="L6" t="s">
        <v>99</v>
      </c>
      <c r="M6" t="s">
        <v>112</v>
      </c>
    </row>
    <row r="7" spans="1:17" x14ac:dyDescent="0.3">
      <c r="B7" t="s">
        <v>113</v>
      </c>
      <c r="C7" s="49" t="str">
        <f>N3</f>
        <v>Steel</v>
      </c>
      <c r="D7" s="49"/>
      <c r="K7">
        <v>100</v>
      </c>
      <c r="L7" t="s">
        <v>99</v>
      </c>
      <c r="M7" t="s">
        <v>114</v>
      </c>
    </row>
    <row r="8" spans="1:17" ht="16.2" x14ac:dyDescent="0.3">
      <c r="B8" t="s">
        <v>115</v>
      </c>
      <c r="C8" s="50">
        <f>((C6*O3)+(O4*F5/1000*H4))*1.2</f>
        <v>227.57759999999999</v>
      </c>
      <c r="D8" s="49" t="s">
        <v>116</v>
      </c>
      <c r="H8">
        <v>3</v>
      </c>
      <c r="I8" t="s">
        <v>97</v>
      </c>
      <c r="J8" t="s">
        <v>117</v>
      </c>
      <c r="K8">
        <v>50</v>
      </c>
      <c r="L8" t="s">
        <v>99</v>
      </c>
      <c r="M8" t="s">
        <v>5</v>
      </c>
      <c r="N8" t="s">
        <v>118</v>
      </c>
      <c r="O8">
        <v>8770</v>
      </c>
      <c r="P8" t="s">
        <v>102</v>
      </c>
    </row>
    <row r="9" spans="1:17" ht="16.2" x14ac:dyDescent="0.3">
      <c r="A9" t="s">
        <v>119</v>
      </c>
      <c r="B9" t="s">
        <v>110</v>
      </c>
      <c r="C9" s="48">
        <f>(K17/1000*K18/1000)*((2*F4/1000)+(2*F5/1000))</f>
        <v>5.7599999999999995E-3</v>
      </c>
      <c r="D9" t="s">
        <v>111</v>
      </c>
      <c r="K9">
        <v>70</v>
      </c>
      <c r="L9" t="s">
        <v>99</v>
      </c>
      <c r="M9" t="s">
        <v>112</v>
      </c>
    </row>
    <row r="10" spans="1:17" ht="15.6" x14ac:dyDescent="0.3">
      <c r="B10" t="s">
        <v>113</v>
      </c>
      <c r="C10" s="49" t="str">
        <f>N17</f>
        <v>Steel</v>
      </c>
      <c r="D10" s="49"/>
      <c r="G10" s="51"/>
      <c r="K10">
        <v>100</v>
      </c>
      <c r="L10" t="s">
        <v>99</v>
      </c>
      <c r="M10" t="s">
        <v>114</v>
      </c>
    </row>
    <row r="11" spans="1:17" ht="16.2" x14ac:dyDescent="0.3">
      <c r="B11" t="s">
        <v>115</v>
      </c>
      <c r="C11" s="50">
        <f>(H17*C9*O17)*1.2</f>
        <v>54.259199999999993</v>
      </c>
      <c r="D11" s="49" t="s">
        <v>116</v>
      </c>
      <c r="H11">
        <v>3</v>
      </c>
      <c r="I11" t="s">
        <v>97</v>
      </c>
      <c r="J11" t="s">
        <v>120</v>
      </c>
      <c r="K11">
        <v>50</v>
      </c>
      <c r="L11" t="s">
        <v>99</v>
      </c>
      <c r="M11" t="s">
        <v>112</v>
      </c>
      <c r="N11" t="s">
        <v>121</v>
      </c>
      <c r="O11">
        <v>7850</v>
      </c>
      <c r="P11" t="s">
        <v>102</v>
      </c>
    </row>
    <row r="12" spans="1:17" ht="16.2" x14ac:dyDescent="0.3">
      <c r="A12" t="s">
        <v>122</v>
      </c>
      <c r="B12" t="s">
        <v>110</v>
      </c>
      <c r="C12" s="48">
        <f>H5*PI()*(K7/1000)*((K6/1000)^2-(K5/1000)^2)</f>
        <v>3.0159289474462002E-3</v>
      </c>
      <c r="D12" t="s">
        <v>111</v>
      </c>
      <c r="E12" s="48">
        <f>H8*PI()*(K10/1000)*((K9/1000)^2-(K8/1000)^2)</f>
        <v>2.2619467105846514E-3</v>
      </c>
      <c r="F12" t="s">
        <v>111</v>
      </c>
      <c r="G12" s="48">
        <f>H11*PI()*(K12/1000)*((K11/1000)^2)</f>
        <v>2.3561944901923453E-3</v>
      </c>
      <c r="H12" t="s">
        <v>111</v>
      </c>
      <c r="K12">
        <v>100</v>
      </c>
      <c r="L12" t="s">
        <v>99</v>
      </c>
      <c r="M12" t="s">
        <v>114</v>
      </c>
    </row>
    <row r="13" spans="1:17" ht="16.2" x14ac:dyDescent="0.3">
      <c r="B13" t="s">
        <v>113</v>
      </c>
      <c r="C13" s="49" t="str">
        <f>N5</f>
        <v>Steel</v>
      </c>
      <c r="E13" s="49" t="str">
        <f>N8</f>
        <v>Bronze</v>
      </c>
      <c r="G13" s="49" t="str">
        <f>N11</f>
        <v>Stainless steel</v>
      </c>
      <c r="H13" s="49">
        <v>1</v>
      </c>
      <c r="I13" t="s">
        <v>97</v>
      </c>
      <c r="J13" t="s">
        <v>123</v>
      </c>
      <c r="K13">
        <v>20</v>
      </c>
      <c r="L13" t="s">
        <v>99</v>
      </c>
      <c r="M13" t="s">
        <v>100</v>
      </c>
      <c r="N13" t="s">
        <v>124</v>
      </c>
      <c r="O13">
        <v>1230</v>
      </c>
      <c r="P13" t="s">
        <v>102</v>
      </c>
    </row>
    <row r="14" spans="1:17" x14ac:dyDescent="0.3">
      <c r="B14" t="s">
        <v>115</v>
      </c>
      <c r="C14" s="50">
        <f>(C12*O5)*1.05</f>
        <v>24.858794349325308</v>
      </c>
      <c r="E14" s="50">
        <f>(E12*O8)*1.05</f>
        <v>20.829136284418766</v>
      </c>
      <c r="G14" s="50">
        <f>(G12*O11)*1.05</f>
        <v>19.420933085410407</v>
      </c>
      <c r="H14" s="49" t="s">
        <v>125</v>
      </c>
      <c r="K14">
        <v>50</v>
      </c>
      <c r="L14" t="s">
        <v>99</v>
      </c>
      <c r="M14" t="s">
        <v>126</v>
      </c>
    </row>
    <row r="15" spans="1:17" ht="16.2" x14ac:dyDescent="0.3">
      <c r="A15" t="s">
        <v>123</v>
      </c>
      <c r="B15" t="s">
        <v>110</v>
      </c>
      <c r="C15" s="48">
        <f>((K13/1000)*(K14/1000)*((2*F4/1000)+(2*F5/1000)))</f>
        <v>4.7999999999999996E-3</v>
      </c>
      <c r="D15" t="s">
        <v>111</v>
      </c>
    </row>
    <row r="16" spans="1:17" x14ac:dyDescent="0.3">
      <c r="B16" t="s">
        <v>113</v>
      </c>
      <c r="C16" s="49" t="str">
        <f>N13</f>
        <v>Neoprene</v>
      </c>
      <c r="D16" s="49"/>
      <c r="J16" t="s">
        <v>127</v>
      </c>
      <c r="N16" t="s">
        <v>96</v>
      </c>
    </row>
    <row r="17" spans="1:16" ht="16.2" x14ac:dyDescent="0.3">
      <c r="B17" t="s">
        <v>115</v>
      </c>
      <c r="C17" s="50">
        <f>(C15*O13)*1.05</f>
        <v>6.1992000000000003</v>
      </c>
      <c r="D17" s="49" t="s">
        <v>125</v>
      </c>
      <c r="H17">
        <v>1</v>
      </c>
      <c r="I17" t="s">
        <v>97</v>
      </c>
      <c r="J17" t="s">
        <v>98</v>
      </c>
      <c r="K17">
        <v>12</v>
      </c>
      <c r="L17" t="s">
        <v>99</v>
      </c>
      <c r="M17" t="s">
        <v>100</v>
      </c>
      <c r="N17" t="s">
        <v>101</v>
      </c>
      <c r="O17">
        <v>7850</v>
      </c>
      <c r="P17" t="s">
        <v>102</v>
      </c>
    </row>
    <row r="18" spans="1:16" x14ac:dyDescent="0.3">
      <c r="K18">
        <v>100</v>
      </c>
      <c r="L18" t="s">
        <v>99</v>
      </c>
      <c r="M18" t="s">
        <v>126</v>
      </c>
    </row>
    <row r="21" spans="1:16" x14ac:dyDescent="0.3">
      <c r="C21" t="s">
        <v>128</v>
      </c>
    </row>
    <row r="22" spans="1:16" x14ac:dyDescent="0.3">
      <c r="C22" t="s">
        <v>129</v>
      </c>
    </row>
    <row r="23" spans="1:16" x14ac:dyDescent="0.3">
      <c r="C23" t="s">
        <v>130</v>
      </c>
    </row>
    <row r="24" spans="1:16" x14ac:dyDescent="0.3">
      <c r="C24" t="s">
        <v>131</v>
      </c>
    </row>
    <row r="25" spans="1:16" ht="15" thickBot="1" x14ac:dyDescent="0.35">
      <c r="A25" s="49" t="s">
        <v>132</v>
      </c>
    </row>
    <row r="26" spans="1:16" x14ac:dyDescent="0.3">
      <c r="B26" s="52" t="s">
        <v>101</v>
      </c>
      <c r="C26" s="53" t="s">
        <v>124</v>
      </c>
      <c r="D26" s="53" t="s">
        <v>118</v>
      </c>
      <c r="E26" s="54" t="s">
        <v>133</v>
      </c>
    </row>
    <row r="27" spans="1:16" x14ac:dyDescent="0.3">
      <c r="B27" s="55" t="s">
        <v>134</v>
      </c>
      <c r="C27" s="56" t="s">
        <v>135</v>
      </c>
      <c r="D27" s="56" t="s">
        <v>136</v>
      </c>
      <c r="E27" s="57" t="s">
        <v>136</v>
      </c>
    </row>
    <row r="28" spans="1:16" x14ac:dyDescent="0.3">
      <c r="B28" s="58">
        <f>C8+C11+C14</f>
        <v>306.69559434932529</v>
      </c>
      <c r="C28" s="59">
        <f>C17</f>
        <v>6.1992000000000003</v>
      </c>
      <c r="D28" s="59">
        <f>E14</f>
        <v>20.829136284418766</v>
      </c>
      <c r="E28" s="60">
        <f>G14</f>
        <v>19.420933085410407</v>
      </c>
    </row>
    <row r="29" spans="1:16" ht="15" thickBot="1" x14ac:dyDescent="0.35">
      <c r="B29" s="61" t="s">
        <v>137</v>
      </c>
      <c r="C29" s="62" t="s">
        <v>137</v>
      </c>
      <c r="D29" s="62" t="s">
        <v>137</v>
      </c>
      <c r="E29" s="63" t="s">
        <v>137</v>
      </c>
    </row>
  </sheetData>
  <mergeCells count="1">
    <mergeCell ref="E1:Q1"/>
  </mergeCells>
  <pageMargins left="0.7" right="0.7" top="0.75" bottom="0.75" header="0.3" footer="0.3"/>
  <pageSetup paperSize="9" scale="67" fitToHeight="0" orientation="landscape" horizontalDpi="360" verticalDpi="360" r:id="rId1"/>
  <headerFooter>
    <oddFooter>&amp;C&amp;"+,Regular"&amp;10Page &amp;P of &amp;N&amp;R&amp;"+,Regular"&amp;10Approved by:
Wafaa Alshaaban
Project Officer</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A7DEA-3B5D-4322-AD81-6335DB85E7FC}">
  <sheetPr>
    <tabColor theme="8" tint="0.39997558519241921"/>
    <pageSetUpPr fitToPage="1"/>
  </sheetPr>
  <dimension ref="A1:U23"/>
  <sheetViews>
    <sheetView workbookViewId="0">
      <selection activeCell="E21" sqref="E21"/>
    </sheetView>
  </sheetViews>
  <sheetFormatPr defaultRowHeight="14.4" x14ac:dyDescent="0.3"/>
  <cols>
    <col min="3" max="3" width="26.44140625" customWidth="1"/>
    <col min="5" max="5" width="8.5546875" customWidth="1"/>
  </cols>
  <sheetData>
    <row r="1" spans="1:21" ht="15" thickBot="1" x14ac:dyDescent="0.35">
      <c r="C1" s="164" t="s">
        <v>196</v>
      </c>
      <c r="D1" s="165"/>
      <c r="E1" s="165"/>
      <c r="F1" s="165"/>
      <c r="G1" s="165"/>
      <c r="H1" s="165"/>
      <c r="I1" s="165"/>
      <c r="J1" s="165"/>
      <c r="K1" s="165"/>
      <c r="L1" s="165"/>
      <c r="M1" s="165"/>
      <c r="N1" s="165"/>
      <c r="O1" s="165"/>
      <c r="P1" s="165"/>
      <c r="Q1" s="165"/>
      <c r="R1" s="165"/>
      <c r="S1" s="165"/>
      <c r="T1" s="165"/>
      <c r="U1" s="166"/>
    </row>
    <row r="2" spans="1:21" ht="15" thickBot="1" x14ac:dyDescent="0.35">
      <c r="C2" s="83"/>
      <c r="D2" s="83"/>
      <c r="E2" s="83"/>
      <c r="F2" s="83"/>
      <c r="G2" s="83"/>
      <c r="H2" s="83"/>
      <c r="I2" s="83"/>
      <c r="J2" s="83"/>
      <c r="K2" s="83"/>
      <c r="L2" s="83"/>
      <c r="M2" s="83"/>
      <c r="N2" s="83"/>
      <c r="O2" s="83"/>
      <c r="P2" s="83"/>
      <c r="Q2" s="83"/>
      <c r="R2" s="83"/>
      <c r="S2" s="83"/>
      <c r="T2" s="83"/>
      <c r="U2" s="83"/>
    </row>
    <row r="3" spans="1:21" x14ac:dyDescent="0.3">
      <c r="C3" s="167" t="s">
        <v>197</v>
      </c>
      <c r="D3" s="168"/>
      <c r="E3" s="169"/>
    </row>
    <row r="4" spans="1:21" x14ac:dyDescent="0.3">
      <c r="C4" s="64" t="s">
        <v>147</v>
      </c>
      <c r="D4" s="65" t="s">
        <v>148</v>
      </c>
      <c r="E4" s="67" t="s">
        <v>35</v>
      </c>
    </row>
    <row r="5" spans="1:21" x14ac:dyDescent="0.3">
      <c r="C5" s="72" t="s">
        <v>164</v>
      </c>
      <c r="D5" s="84">
        <v>1</v>
      </c>
      <c r="E5" s="74" t="s">
        <v>154</v>
      </c>
    </row>
    <row r="6" spans="1:21" x14ac:dyDescent="0.3">
      <c r="C6" s="72" t="s">
        <v>198</v>
      </c>
      <c r="D6" s="47">
        <v>2</v>
      </c>
      <c r="E6" s="74" t="s">
        <v>199</v>
      </c>
    </row>
    <row r="7" spans="1:21" x14ac:dyDescent="0.3">
      <c r="C7" s="72" t="s">
        <v>200</v>
      </c>
      <c r="D7" s="47">
        <v>2</v>
      </c>
      <c r="E7" s="74" t="s">
        <v>154</v>
      </c>
    </row>
    <row r="8" spans="1:21" x14ac:dyDescent="0.3">
      <c r="C8" s="72" t="s">
        <v>103</v>
      </c>
      <c r="D8" s="47">
        <v>1</v>
      </c>
      <c r="E8" s="74" t="s">
        <v>154</v>
      </c>
    </row>
    <row r="9" spans="1:21" x14ac:dyDescent="0.3">
      <c r="C9" s="72" t="s">
        <v>161</v>
      </c>
      <c r="D9" s="73">
        <f>(D8*D7)+(D8*(D6*D8))</f>
        <v>4</v>
      </c>
      <c r="E9" s="74" t="s">
        <v>162</v>
      </c>
    </row>
    <row r="10" spans="1:21" ht="15" thickBot="1" x14ac:dyDescent="0.35">
      <c r="C10" s="76" t="s">
        <v>168</v>
      </c>
      <c r="D10" s="78">
        <f>D9*D5</f>
        <v>4</v>
      </c>
      <c r="E10" s="79" t="s">
        <v>169</v>
      </c>
    </row>
    <row r="13" spans="1:21" x14ac:dyDescent="0.3">
      <c r="A13" s="49" t="s">
        <v>191</v>
      </c>
    </row>
    <row r="14" spans="1:21" x14ac:dyDescent="0.3">
      <c r="A14" s="170" t="s">
        <v>192</v>
      </c>
      <c r="B14" s="171"/>
      <c r="C14" s="172"/>
    </row>
    <row r="15" spans="1:21" ht="31.5" customHeight="1" x14ac:dyDescent="0.3">
      <c r="A15" s="173" t="s">
        <v>193</v>
      </c>
      <c r="B15" s="174"/>
      <c r="C15" s="175"/>
    </row>
    <row r="23" spans="9:9" ht="15.6" x14ac:dyDescent="0.3">
      <c r="I23" s="51"/>
    </row>
  </sheetData>
  <mergeCells count="4">
    <mergeCell ref="C1:U1"/>
    <mergeCell ref="C3:E3"/>
    <mergeCell ref="A14:C14"/>
    <mergeCell ref="A15:C15"/>
  </mergeCells>
  <pageMargins left="0.7" right="0.7" top="0.75" bottom="0.75" header="0.3" footer="0.3"/>
  <pageSetup scale="59" fitToHeight="0" orientation="landscape" r:id="rId1"/>
  <headerFooter>
    <oddFooter>&amp;C&amp;"+,Regular"&amp;10Page &amp;P of &amp;N&amp;R&amp;"+,Regular"&amp;10Approved by:
Wafaa Alshaaban
Project Officer</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E60B015CB131F46833F5B6159C15C12" ma:contentTypeVersion="12" ma:contentTypeDescription="Create a new document." ma:contentTypeScope="" ma:versionID="c9f81f337db7b09d7c4df429ba79348d">
  <xsd:schema xmlns:xsd="http://www.w3.org/2001/XMLSchema" xmlns:xs="http://www.w3.org/2001/XMLSchema" xmlns:p="http://schemas.microsoft.com/office/2006/metadata/properties" xmlns:ns2="b806e36a-9eaf-4e03-aa32-8944e14bcd8b" xmlns:ns3="0ae84525-964a-4873-ac2a-8c5b655d4796" targetNamespace="http://schemas.microsoft.com/office/2006/metadata/properties" ma:root="true" ma:fieldsID="af4e6ceb5d333ef8d53db24c37751bed" ns2:_="" ns3:_="">
    <xsd:import namespace="b806e36a-9eaf-4e03-aa32-8944e14bcd8b"/>
    <xsd:import namespace="0ae84525-964a-4873-ac2a-8c5b655d479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06e36a-9eaf-4e03-aa32-8944e14bcd8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553f610b-9ee9-4302-9a9e-eaae0f0c7bdb"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ae84525-964a-4873-ac2a-8c5b655d479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370b9ad3-9b9a-43e7-a0d3-82497a35ceb4}" ma:internalName="TaxCatchAll" ma:showField="CatchAllData" ma:web="0ae84525-964a-4873-ac2a-8c5b655d479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806e36a-9eaf-4e03-aa32-8944e14bcd8b">
      <Terms xmlns="http://schemas.microsoft.com/office/infopath/2007/PartnerControls"/>
    </lcf76f155ced4ddcb4097134ff3c332f>
    <TaxCatchAll xmlns="0ae84525-964a-4873-ac2a-8c5b655d4796" xsi:nil="true"/>
  </documentManagement>
</p:properties>
</file>

<file path=customXml/itemProps1.xml><?xml version="1.0" encoding="utf-8"?>
<ds:datastoreItem xmlns:ds="http://schemas.openxmlformats.org/officeDocument/2006/customXml" ds:itemID="{21BBD485-11A2-40FD-8803-0AF7F32FDF82}">
  <ds:schemaRefs>
    <ds:schemaRef ds:uri="http://schemas.microsoft.com/sharepoint/v3/contenttype/forms"/>
  </ds:schemaRefs>
</ds:datastoreItem>
</file>

<file path=customXml/itemProps2.xml><?xml version="1.0" encoding="utf-8"?>
<ds:datastoreItem xmlns:ds="http://schemas.openxmlformats.org/officeDocument/2006/customXml" ds:itemID="{9C8FE9DC-11E9-4042-AF83-B43407757171}"/>
</file>

<file path=customXml/itemProps3.xml><?xml version="1.0" encoding="utf-8"?>
<ds:datastoreItem xmlns:ds="http://schemas.openxmlformats.org/officeDocument/2006/customXml" ds:itemID="{608F66BC-FFD3-4B77-966F-9DAE2064F68D}">
  <ds:schemaRefs>
    <ds:schemaRef ds:uri="http://purl.org/dc/elements/1.1/"/>
    <ds:schemaRef ds:uri="http://purl.org/dc/terms/"/>
    <ds:schemaRef ds:uri="http://www.w3.org/XML/1998/namespace"/>
    <ds:schemaRef ds:uri="http://schemas.microsoft.com/office/2006/documentManagement/types"/>
    <ds:schemaRef ds:uri="6360225c-0102-4b2f-a922-e3220516d683"/>
    <ds:schemaRef ds:uri="http://schemas.microsoft.com/office/infopath/2007/PartnerControls"/>
    <ds:schemaRef ds:uri="http://purl.org/dc/dcmitype/"/>
    <ds:schemaRef ds:uri="http://schemas.openxmlformats.org/package/2006/metadata/core-properties"/>
    <ds:schemaRef ds:uri="4c55a0b7-40e6-4b43-80fa-fb2ad9d672bd"/>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BoQ</vt:lpstr>
      <vt:lpstr>Locations</vt:lpstr>
      <vt:lpstr>Scope of work </vt:lpstr>
      <vt:lpstr>Technical Specification</vt:lpstr>
      <vt:lpstr>Large Culvert</vt:lpstr>
      <vt:lpstr>Flap Gates</vt:lpstr>
      <vt:lpstr>Drainage</vt:lpstr>
      <vt:lpstr>BoQ!Print_Area</vt:lpstr>
      <vt:lpstr>'Scope of work '!Print_Area</vt:lpstr>
      <vt:lpstr>'Technical Specification'!Print_Area</vt:lpstr>
      <vt:lpstr>BoQ!Print_Titles</vt:lpstr>
      <vt:lpstr>'Scope of work '!Print_Titles</vt:lpstr>
      <vt:lpstr>'Technical Specification'!Print_Titles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 SHAABAN Wafaa Yousef Fareid</dc:creator>
  <cp:keywords/>
  <dc:description/>
  <cp:lastModifiedBy>AL SHAABAN Wafaa Yousef Fareid</cp:lastModifiedBy>
  <cp:revision/>
  <cp:lastPrinted>2023-08-20T15:01:50Z</cp:lastPrinted>
  <dcterms:created xsi:type="dcterms:W3CDTF">2023-08-04T18:20:41Z</dcterms:created>
  <dcterms:modified xsi:type="dcterms:W3CDTF">2023-08-21T11:36:40Z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2023-08-04T18:32:30Z</vt:lpwstr>
  </property>
  <property fmtid="{D5CDD505-2E9C-101B-9397-08002B2CF9AE}" pid="4" name="MSIP_Label_2059aa38-f392-4105-be92-628035578272_Method">
    <vt:lpwstr>Standard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e7a78afe-8290-487a-b3bf-9a4ce9c8d5d4</vt:lpwstr>
  </property>
  <property fmtid="{D5CDD505-2E9C-101B-9397-08002B2CF9AE}" pid="8" name="MSIP_Label_2059aa38-f392-4105-be92-628035578272_ContentBits">
    <vt:lpwstr>0</vt:lpwstr>
  </property>
  <property fmtid="{D5CDD505-2E9C-101B-9397-08002B2CF9AE}" pid="9" name="ContentTypeId">
    <vt:lpwstr>0x010100DE60B015CB131F46833F5B6159C15C12</vt:lpwstr>
  </property>
  <property fmtid="{D5CDD505-2E9C-101B-9397-08002B2CF9AE}" pid="10" name="MediaServiceImageTags">
    <vt:lpwstr/>
  </property>
</Properties>
</file>